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D3EF2061-45E4-4A30-A338-ABD8E349F5DB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AFM SRL" sheetId="3" r:id="rId1"/>
    <sheet name="GEST.FARMAC" sheetId="1" r:id="rId2"/>
    <sheet name="GEST.MICRONIDO" sheetId="2" r:id="rId3"/>
    <sheet name="INVESTIMENTI FARMC" sheetId="5" r:id="rId4"/>
    <sheet name="INVESTIMENTI MICRONIDO" sheetId="4" r:id="rId5"/>
  </sheets>
  <definedNames>
    <definedName name="_xlnm.Print_Area" localSheetId="1">GEST.FARMAC!$A$1:$N$65</definedName>
    <definedName name="_xlnm.Print_Area" localSheetId="3">'INVESTIMENTI FARMC'!$A$1:$D$14</definedName>
    <definedName name="_xlnm.Print_Area" localSheetId="4">'INVESTIMENTI MICRONIDO'!$A$1:$D$6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5" l="1"/>
  <c r="F19" i="3"/>
  <c r="G19" i="3"/>
  <c r="H19" i="3"/>
  <c r="I18" i="3"/>
  <c r="C6" i="3"/>
  <c r="G6" i="3"/>
  <c r="F6" i="3"/>
  <c r="G5" i="3"/>
  <c r="F5" i="3"/>
  <c r="G4" i="3"/>
  <c r="C41" i="1"/>
  <c r="C40" i="1"/>
  <c r="F4" i="3"/>
  <c r="B13" i="5"/>
  <c r="F7" i="3" l="1"/>
  <c r="H6" i="3"/>
  <c r="H5" i="3"/>
  <c r="H4" i="3"/>
  <c r="C17" i="1"/>
  <c r="G7" i="3" l="1"/>
  <c r="H7" i="3" s="1"/>
  <c r="B5" i="4" l="1"/>
  <c r="C24" i="1" l="1"/>
  <c r="C55" i="3" l="1"/>
  <c r="C54" i="3"/>
  <c r="C53" i="3"/>
  <c r="C49" i="3"/>
  <c r="C43" i="3"/>
  <c r="C42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2" i="3"/>
  <c r="C21" i="3"/>
  <c r="C20" i="3"/>
  <c r="C19" i="3"/>
  <c r="C18" i="3"/>
  <c r="C17" i="3"/>
  <c r="C16" i="3"/>
  <c r="C9" i="3"/>
  <c r="C8" i="3"/>
  <c r="C45" i="2"/>
  <c r="C24" i="2"/>
  <c r="C12" i="2"/>
  <c r="C6" i="2"/>
  <c r="C5" i="3"/>
  <c r="C14" i="2" l="1"/>
  <c r="C26" i="2" s="1"/>
  <c r="C47" i="2" s="1"/>
  <c r="C51" i="2" s="1"/>
  <c r="C57" i="2" s="1"/>
  <c r="C24" i="3"/>
  <c r="F19" i="1"/>
  <c r="D19" i="3"/>
  <c r="C59" i="2" l="1"/>
  <c r="C61" i="2" s="1"/>
  <c r="D19" i="1"/>
  <c r="H4" i="1"/>
  <c r="G7" i="1" l="1"/>
  <c r="C10" i="1" s="1"/>
  <c r="F7" i="1"/>
  <c r="C6" i="1" s="1"/>
  <c r="H6" i="1"/>
  <c r="H5" i="1"/>
  <c r="C12" i="1" l="1"/>
  <c r="C10" i="3"/>
  <c r="C12" i="3" s="1"/>
  <c r="C14" i="3" s="1"/>
  <c r="C4" i="1"/>
  <c r="H7" i="1"/>
  <c r="C4" i="3" l="1"/>
  <c r="D20" i="3" s="1"/>
  <c r="D20" i="1"/>
  <c r="C14" i="1"/>
  <c r="C26" i="1" s="1"/>
  <c r="C41" i="3"/>
  <c r="C45" i="3" s="1"/>
  <c r="C45" i="1"/>
  <c r="C26" i="3"/>
  <c r="D14" i="3" l="1"/>
  <c r="D14" i="1"/>
  <c r="C47" i="1"/>
  <c r="C51" i="1" s="1"/>
  <c r="C57" i="1" s="1"/>
  <c r="C47" i="3"/>
  <c r="C51" i="3" s="1"/>
  <c r="C57" i="3" s="1"/>
  <c r="C59" i="1" l="1"/>
  <c r="C59" i="3" s="1"/>
  <c r="C61" i="3" s="1"/>
  <c r="C62" i="3" s="1"/>
  <c r="C61" i="1" l="1"/>
  <c r="C63" i="1" s="1"/>
  <c r="C64" i="3"/>
  <c r="C65" i="3"/>
  <c r="C63" i="3"/>
  <c r="C64" i="1" l="1"/>
  <c r="C65" i="1"/>
  <c r="C62" i="1"/>
</calcChain>
</file>

<file path=xl/sharedStrings.xml><?xml version="1.0" encoding="utf-8"?>
<sst xmlns="http://schemas.openxmlformats.org/spreadsheetml/2006/main" count="245" uniqueCount="96">
  <si>
    <t>Descrizione</t>
  </si>
  <si>
    <t>Ricavi lordi</t>
  </si>
  <si>
    <t>Trattenute su vendite al SSN</t>
  </si>
  <si>
    <t>A</t>
  </si>
  <si>
    <t>RICAVI LORDI AL NETTO TRATT SSN</t>
  </si>
  <si>
    <t>Rim. Iniziali</t>
  </si>
  <si>
    <t>Acquisti - resi - rimborsi</t>
  </si>
  <si>
    <t xml:space="preserve"> - Rim. Finali</t>
  </si>
  <si>
    <t>B</t>
  </si>
  <si>
    <t>CONSUMO</t>
  </si>
  <si>
    <t>C = A-B</t>
  </si>
  <si>
    <t>I MARGINE</t>
  </si>
  <si>
    <t>Manut e riparaz.</t>
  </si>
  <si>
    <t>Spese di gestione</t>
  </si>
  <si>
    <t>Costo direttore</t>
  </si>
  <si>
    <t>Costo del personale</t>
  </si>
  <si>
    <t>Spese amm.ve dirette</t>
  </si>
  <si>
    <t>Oneri tributari diretti</t>
  </si>
  <si>
    <t>Recupero affitti Casalbellotto</t>
  </si>
  <si>
    <t>D</t>
  </si>
  <si>
    <t>TOT. COSTI DIRETTI</t>
  </si>
  <si>
    <t>E =C-D</t>
  </si>
  <si>
    <t>MARG. DI CONTRIBUZIONE</t>
  </si>
  <si>
    <t>Oneri access. su acquisti</t>
  </si>
  <si>
    <t>Prestazioni di servizi</t>
  </si>
  <si>
    <t>12a</t>
  </si>
  <si>
    <t>Servizio contabile full-outsourcing</t>
  </si>
  <si>
    <t>Impiegati amministrativi</t>
  </si>
  <si>
    <t>Amm.to beni immateriali</t>
  </si>
  <si>
    <t>Amm.to beni materiali</t>
  </si>
  <si>
    <t>Accantonamenti vari</t>
  </si>
  <si>
    <t>16b</t>
  </si>
  <si>
    <t>Assicurazioni</t>
  </si>
  <si>
    <t>Spese amm.ve sede</t>
  </si>
  <si>
    <t>Costi sistema informatico</t>
  </si>
  <si>
    <t>Spese di vendita</t>
  </si>
  <si>
    <t>Oneri tributari</t>
  </si>
  <si>
    <t>Godimento beni di terzi</t>
  </si>
  <si>
    <t>Canone gestione farmacie</t>
  </si>
  <si>
    <t>F</t>
  </si>
  <si>
    <t>TOT. COSTI INDIRETTI</t>
  </si>
  <si>
    <t>G = E-F</t>
  </si>
  <si>
    <t>RISULTATO OPERATIVO</t>
  </si>
  <si>
    <t>H</t>
  </si>
  <si>
    <t>Oneri/proventi finanziari</t>
  </si>
  <si>
    <t>I = G+H</t>
  </si>
  <si>
    <t>RISULTATO  DI GESTIONE</t>
  </si>
  <si>
    <t>L</t>
  </si>
  <si>
    <t>Sopravv. Passive</t>
  </si>
  <si>
    <t>M</t>
  </si>
  <si>
    <t>Contributi in c.to esercizio</t>
  </si>
  <si>
    <t>N</t>
  </si>
  <si>
    <t>Sopravv. Attive</t>
  </si>
  <si>
    <t>O</t>
  </si>
  <si>
    <t>RISULTATO ANTE IMPOSTE</t>
  </si>
  <si>
    <t>P</t>
  </si>
  <si>
    <t>IRES/IRAP dell'esercizio</t>
  </si>
  <si>
    <t>Q =O-P</t>
  </si>
  <si>
    <t>RISULTATO D'ESERCIZIO</t>
  </si>
  <si>
    <t>COSTO PERSONALE - INCIDENZA SUL FATTURATO</t>
  </si>
  <si>
    <t>RISULTATO D'ESERCIZIO al lordo del canone di gestione farmaceutico</t>
  </si>
  <si>
    <t>CASH FLOW</t>
  </si>
  <si>
    <t>EBIT</t>
  </si>
  <si>
    <t>EBITDA</t>
  </si>
  <si>
    <t>Fatturato</t>
  </si>
  <si>
    <t>Magazzino</t>
  </si>
  <si>
    <t>Costi sanificazine DPI</t>
  </si>
  <si>
    <t>Altri oneri di gestione</t>
  </si>
  <si>
    <t>F1</t>
  </si>
  <si>
    <t>%</t>
  </si>
  <si>
    <t>F3</t>
  </si>
  <si>
    <t>F2</t>
  </si>
  <si>
    <t>TOT</t>
  </si>
  <si>
    <t>MARGINALITA' COMMERCIALE</t>
  </si>
  <si>
    <t>GESTIONE FARMACEUTICA</t>
  </si>
  <si>
    <t>GESTIONE MICRONIDO</t>
  </si>
  <si>
    <t>AZIENDA FARMACEUTICA MUNICIPALE SRL</t>
  </si>
  <si>
    <t>ENTRATE</t>
  </si>
  <si>
    <t>USCITE</t>
  </si>
  <si>
    <t>PIANO PREVISIONALE 2024</t>
  </si>
  <si>
    <t>FORECAST 2024</t>
  </si>
  <si>
    <t>Importo</t>
  </si>
  <si>
    <t>TOTALE</t>
  </si>
  <si>
    <t>PIANO PREVISIONALE INVESTIMENTI 2024</t>
  </si>
  <si>
    <t>N. DIPENDENTI TOT. 2023</t>
  </si>
  <si>
    <t>N. DIPENDENTI TOT. 2024</t>
  </si>
  <si>
    <t>F3 -Magazzino automatizzato + 2 go visual + 3 anni garanzia full</t>
  </si>
  <si>
    <t>F3 - Pharmashop24 + loker</t>
  </si>
  <si>
    <t>F3 - Farmacash</t>
  </si>
  <si>
    <t>F3 - Arredi + porte interne</t>
  </si>
  <si>
    <t>F3 - Opere murarie in cartongesso</t>
  </si>
  <si>
    <t>F3 - Adeguamento impianto idraulico</t>
  </si>
  <si>
    <t>F3 - Adeguamento impianto elettrico</t>
  </si>
  <si>
    <t>F3 - Insegne+passafarmaco+citofono+videosorveglianza, allarme, porta automatica</t>
  </si>
  <si>
    <t>F3 - Farmascreen+frigorifero piccolo, poltrona telemedicina, data loger</t>
  </si>
  <si>
    <t>Sostituzione finestre immobile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</si>
</sst>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vertical="top"/>
    </xf>
    <xf numFmtId="0" fontId="0" fillId="0" borderId="1" xfId="0" applyBorder="1" applyAlignment="1">
      <alignment horizontal="center"/>
    </xf>
    <xf numFmtId="0" fontId="0" fillId="0" borderId="9" xfId="0" applyBorder="1"/>
    <xf numFmtId="0" fontId="2" fillId="0" borderId="7" xfId="0" applyFont="1" applyBorder="1"/>
    <xf numFmtId="43" fontId="2" fillId="0" borderId="0" xfId="1" applyFont="1" applyBorder="1"/>
    <xf numFmtId="0" fontId="2" fillId="2" borderId="7" xfId="0" applyFont="1" applyFill="1" applyBorder="1"/>
    <xf numFmtId="165" fontId="1" fillId="0" borderId="10" xfId="2" applyNumberFormat="1" applyFont="1" applyBorder="1"/>
    <xf numFmtId="43" fontId="1" fillId="0" borderId="0" xfId="1" applyFont="1" applyBorder="1"/>
    <xf numFmtId="43" fontId="1" fillId="0" borderId="11" xfId="1" applyFont="1" applyBorder="1"/>
    <xf numFmtId="43" fontId="1" fillId="0" borderId="12" xfId="1" applyFont="1" applyBorder="1"/>
    <xf numFmtId="0" fontId="0" fillId="0" borderId="3" xfId="0" applyBorder="1" applyAlignment="1">
      <alignment horizontal="center"/>
    </xf>
    <xf numFmtId="43" fontId="1" fillId="0" borderId="3" xfId="1" applyFont="1" applyBorder="1"/>
    <xf numFmtId="43" fontId="0" fillId="0" borderId="0" xfId="1" applyFont="1" applyBorder="1"/>
    <xf numFmtId="9" fontId="2" fillId="0" borderId="3" xfId="2" applyFont="1" applyBorder="1"/>
    <xf numFmtId="0" fontId="0" fillId="0" borderId="4" xfId="0" applyBorder="1" applyAlignment="1">
      <alignment horizontal="right"/>
    </xf>
    <xf numFmtId="43" fontId="0" fillId="0" borderId="0" xfId="1" applyFont="1"/>
    <xf numFmtId="164" fontId="0" fillId="0" borderId="0" xfId="0" applyNumberFormat="1"/>
    <xf numFmtId="0" fontId="3" fillId="0" borderId="0" xfId="0" applyFont="1" applyAlignment="1">
      <alignment horizontal="center" vertical="top"/>
    </xf>
    <xf numFmtId="43" fontId="1" fillId="0" borderId="0" xfId="1" applyFont="1" applyFill="1" applyBorder="1"/>
    <xf numFmtId="43" fontId="2" fillId="0" borderId="0" xfId="1" applyFont="1" applyFill="1" applyBorder="1"/>
    <xf numFmtId="9" fontId="2" fillId="0" borderId="0" xfId="2" applyFont="1" applyFill="1" applyBorder="1"/>
    <xf numFmtId="43" fontId="2" fillId="2" borderId="3" xfId="1" applyFont="1" applyFill="1" applyBorder="1"/>
    <xf numFmtId="43" fontId="2" fillId="0" borderId="3" xfId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3" fillId="0" borderId="0" xfId="1" applyFont="1" applyAlignment="1">
      <alignment vertical="top"/>
    </xf>
    <xf numFmtId="43" fontId="3" fillId="0" borderId="0" xfId="1" applyFont="1" applyBorder="1" applyAlignment="1">
      <alignment vertical="top"/>
    </xf>
    <xf numFmtId="0" fontId="2" fillId="0" borderId="7" xfId="0" applyFont="1" applyBorder="1" applyAlignment="1">
      <alignment horizontal="center"/>
    </xf>
    <xf numFmtId="0" fontId="2" fillId="0" borderId="1" xfId="0" applyFont="1" applyBorder="1"/>
    <xf numFmtId="4" fontId="2" fillId="0" borderId="7" xfId="0" applyNumberFormat="1" applyFont="1" applyBorder="1" applyAlignment="1">
      <alignment horizontal="center"/>
    </xf>
    <xf numFmtId="4" fontId="2" fillId="0" borderId="1" xfId="0" applyNumberFormat="1" applyFont="1" applyBorder="1"/>
    <xf numFmtId="43" fontId="1" fillId="0" borderId="12" xfId="1" applyFont="1" applyFill="1" applyBorder="1"/>
    <xf numFmtId="43" fontId="0" fillId="0" borderId="0" xfId="1" applyFont="1" applyFill="1" applyBorder="1"/>
    <xf numFmtId="0" fontId="2" fillId="0" borderId="0" xfId="0" applyFont="1"/>
    <xf numFmtId="43" fontId="0" fillId="0" borderId="0" xfId="0" applyNumberFormat="1"/>
    <xf numFmtId="43" fontId="0" fillId="0" borderId="12" xfId="0" applyNumberFormat="1" applyBorder="1"/>
    <xf numFmtId="43" fontId="1" fillId="0" borderId="13" xfId="1" applyFont="1" applyBorder="1"/>
    <xf numFmtId="0" fontId="2" fillId="0" borderId="4" xfId="0" applyFont="1" applyBorder="1" applyAlignment="1">
      <alignment horizontal="center" wrapText="1"/>
    </xf>
    <xf numFmtId="9" fontId="0" fillId="0" borderId="12" xfId="2" applyFont="1" applyBorder="1"/>
    <xf numFmtId="43" fontId="0" fillId="0" borderId="12" xfId="1" applyFont="1" applyBorder="1"/>
    <xf numFmtId="43" fontId="2" fillId="0" borderId="3" xfId="0" applyNumberFormat="1" applyFont="1" applyBorder="1"/>
    <xf numFmtId="0" fontId="0" fillId="0" borderId="8" xfId="0" applyBorder="1"/>
    <xf numFmtId="165" fontId="1" fillId="0" borderId="0" xfId="2" applyNumberFormat="1" applyFont="1" applyBorder="1"/>
    <xf numFmtId="0" fontId="2" fillId="0" borderId="2" xfId="0" applyFont="1" applyBorder="1"/>
    <xf numFmtId="0" fontId="2" fillId="0" borderId="0" xfId="0" applyFont="1" applyAlignment="1">
      <alignment wrapText="1"/>
    </xf>
    <xf numFmtId="165" fontId="1" fillId="0" borderId="0" xfId="2" applyNumberFormat="1" applyFont="1" applyFill="1" applyBorder="1"/>
    <xf numFmtId="9" fontId="1" fillId="0" borderId="0" xfId="2" applyFont="1" applyBorder="1"/>
    <xf numFmtId="165" fontId="0" fillId="0" borderId="0" xfId="2" applyNumberFormat="1" applyFont="1" applyBorder="1"/>
    <xf numFmtId="165" fontId="1" fillId="0" borderId="13" xfId="2" applyNumberFormat="1" applyFont="1" applyFill="1" applyBorder="1"/>
    <xf numFmtId="0" fontId="2" fillId="0" borderId="3" xfId="0" applyFont="1" applyBorder="1" applyAlignment="1">
      <alignment horizontal="center" wrapText="1"/>
    </xf>
    <xf numFmtId="43" fontId="1" fillId="0" borderId="3" xfId="1" applyFont="1" applyFill="1" applyBorder="1"/>
    <xf numFmtId="0" fontId="0" fillId="0" borderId="4" xfId="0" applyBorder="1" applyAlignment="1">
      <alignment horizontal="center" vertical="center"/>
    </xf>
    <xf numFmtId="3" fontId="0" fillId="0" borderId="12" xfId="0" applyNumberFormat="1" applyBorder="1"/>
    <xf numFmtId="3" fontId="0" fillId="0" borderId="3" xfId="0" applyNumberFormat="1" applyBorder="1"/>
    <xf numFmtId="3" fontId="0" fillId="0" borderId="13" xfId="0" applyNumberFormat="1" applyBorder="1"/>
    <xf numFmtId="3" fontId="2" fillId="0" borderId="3" xfId="0" applyNumberFormat="1" applyFont="1" applyBorder="1"/>
    <xf numFmtId="0" fontId="0" fillId="0" borderId="5" xfId="0" applyBorder="1" applyAlignment="1">
      <alignment horizontal="center"/>
    </xf>
    <xf numFmtId="0" fontId="0" fillId="0" borderId="0" xfId="0" applyAlignment="1">
      <alignment vertical="center"/>
    </xf>
    <xf numFmtId="43" fontId="1" fillId="0" borderId="12" xfId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2" fontId="1" fillId="0" borderId="0" xfId="1" applyNumberFormat="1" applyFont="1" applyBorder="1"/>
    <xf numFmtId="2" fontId="0" fillId="0" borderId="0" xfId="2" applyNumberFormat="1" applyFont="1" applyBorder="1"/>
    <xf numFmtId="1" fontId="1" fillId="0" borderId="0" xfId="1" applyNumberFormat="1" applyFont="1" applyBorder="1"/>
    <xf numFmtId="166" fontId="1" fillId="0" borderId="0" xfId="2" applyNumberFormat="1" applyFont="1" applyBorder="1"/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2" fontId="1" fillId="0" borderId="3" xfId="1" applyNumberFormat="1" applyFont="1" applyBorder="1"/>
    <xf numFmtId="2" fontId="0" fillId="0" borderId="3" xfId="1" applyNumberFormat="1" applyFont="1" applyBorder="1"/>
    <xf numFmtId="164" fontId="2" fillId="0" borderId="0" xfId="0" applyNumberFormat="1" applyFont="1"/>
    <xf numFmtId="0" fontId="0" fillId="0" borderId="3" xfId="0" applyBorder="1"/>
    <xf numFmtId="0" fontId="2" fillId="0" borderId="3" xfId="0" applyFont="1" applyBorder="1" applyAlignment="1">
      <alignment horizontal="right"/>
    </xf>
    <xf numFmtId="43" fontId="1" fillId="0" borderId="11" xfId="1" applyFont="1" applyFill="1" applyBorder="1"/>
    <xf numFmtId="0" fontId="0" fillId="0" borderId="7" xfId="0" applyBorder="1" applyAlignment="1">
      <alignment horizontal="left"/>
    </xf>
    <xf numFmtId="2" fontId="0" fillId="0" borderId="3" xfId="0" applyNumberFormat="1" applyBorder="1" applyAlignment="1">
      <alignment vertical="center" wrapText="1"/>
    </xf>
    <xf numFmtId="0" fontId="3" fillId="0" borderId="0" xfId="0" applyFont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3" fontId="0" fillId="0" borderId="7" xfId="1" applyFont="1" applyFill="1" applyBorder="1" applyAlignment="1">
      <alignment horizontal="center"/>
    </xf>
    <xf numFmtId="43" fontId="0" fillId="0" borderId="2" xfId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43" fontId="0" fillId="0" borderId="3" xfId="1" applyFont="1" applyBorder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5"/>
  <sheetViews>
    <sheetView workbookViewId="0">
      <selection activeCell="C41" sqref="C41"/>
    </sheetView>
  </sheetViews>
  <sheetFormatPr defaultRowHeight="15" x14ac:dyDescent="0.25"/>
  <cols>
    <col min="1" max="1" width="7.140625" bestFit="1" customWidth="1"/>
    <col min="2" max="2" width="63.28515625" bestFit="1" customWidth="1"/>
    <col min="3" max="3" width="14.5703125" bestFit="1" customWidth="1"/>
    <col min="4" max="4" width="28.5703125" bestFit="1" customWidth="1"/>
    <col min="5" max="5" width="5" bestFit="1" customWidth="1"/>
    <col min="6" max="6" width="14.28515625" bestFit="1" customWidth="1"/>
    <col min="7" max="7" width="11.5703125" bestFit="1" customWidth="1"/>
    <col min="8" max="8" width="7" bestFit="1" customWidth="1"/>
    <col min="9" max="9" width="14.28515625" bestFit="1" customWidth="1"/>
  </cols>
  <sheetData>
    <row r="1" spans="1:8" ht="28.5" x14ac:dyDescent="0.25">
      <c r="A1" s="81" t="s">
        <v>76</v>
      </c>
      <c r="B1" s="81"/>
      <c r="C1" s="81"/>
      <c r="D1" s="23"/>
      <c r="E1" s="23"/>
      <c r="F1" s="23"/>
      <c r="G1" s="6"/>
      <c r="H1" s="6"/>
    </row>
    <row r="2" spans="1:8" ht="28.5" x14ac:dyDescent="0.25">
      <c r="A2" s="82" t="s">
        <v>79</v>
      </c>
      <c r="B2" s="82"/>
      <c r="C2" s="82"/>
      <c r="D2" s="23"/>
      <c r="E2" s="23"/>
      <c r="F2" s="23"/>
      <c r="G2" s="6"/>
      <c r="H2" s="6"/>
    </row>
    <row r="3" spans="1:8" x14ac:dyDescent="0.25">
      <c r="A3" s="1"/>
      <c r="B3" s="33" t="s">
        <v>0</v>
      </c>
      <c r="C3" s="1" t="s">
        <v>80</v>
      </c>
      <c r="D3" s="29"/>
      <c r="E3" s="33">
        <v>2024</v>
      </c>
      <c r="F3" s="1" t="s">
        <v>64</v>
      </c>
      <c r="G3" s="1" t="s">
        <v>65</v>
      </c>
      <c r="H3" s="1" t="s">
        <v>69</v>
      </c>
    </row>
    <row r="4" spans="1:8" x14ac:dyDescent="0.25">
      <c r="A4" s="2"/>
      <c r="B4" t="s">
        <v>1</v>
      </c>
      <c r="C4" s="14">
        <f>GEST.FARMAC!C4+GEST.MICRONIDO!C4</f>
        <v>3957000</v>
      </c>
      <c r="D4" s="13"/>
      <c r="E4" s="20" t="s">
        <v>68</v>
      </c>
      <c r="F4" s="45">
        <f>GEST.FARMAC!F4</f>
        <v>1450000</v>
      </c>
      <c r="G4" s="41">
        <f>GEST.FARMAC!G4</f>
        <v>230000</v>
      </c>
      <c r="H4" s="44">
        <f>G4/F4</f>
        <v>0.15862068965517243</v>
      </c>
    </row>
    <row r="5" spans="1:8" x14ac:dyDescent="0.25">
      <c r="A5" s="2"/>
      <c r="B5" t="s">
        <v>2</v>
      </c>
      <c r="C5" s="15">
        <f>GEST.FARMAC!C5+GEST.MICRONIDO!C5</f>
        <v>-47000</v>
      </c>
      <c r="D5" s="13"/>
      <c r="E5" s="20" t="s">
        <v>71</v>
      </c>
      <c r="F5" s="45">
        <f>GEST.FARMAC!F5</f>
        <v>1300000</v>
      </c>
      <c r="G5" s="41">
        <f>GEST.FARMAC!G5</f>
        <v>150000</v>
      </c>
      <c r="H5" s="44">
        <f>G5/F5</f>
        <v>0.11538461538461539</v>
      </c>
    </row>
    <row r="6" spans="1:8" x14ac:dyDescent="0.25">
      <c r="A6" s="33" t="s">
        <v>3</v>
      </c>
      <c r="B6" s="34" t="s">
        <v>4</v>
      </c>
      <c r="C6" s="28">
        <f>GEST.FARMAC!C6</f>
        <v>3910000</v>
      </c>
      <c r="D6" s="10"/>
      <c r="E6" s="20" t="s">
        <v>70</v>
      </c>
      <c r="F6" s="45">
        <f>GEST.FARMAC!F6</f>
        <v>1150000</v>
      </c>
      <c r="G6" s="41">
        <f>GEST.FARMAC!G6</f>
        <v>130000</v>
      </c>
      <c r="H6" s="44">
        <f>G6/F6</f>
        <v>0.11304347826086956</v>
      </c>
    </row>
    <row r="7" spans="1:8" x14ac:dyDescent="0.25">
      <c r="A7" s="7"/>
      <c r="B7" s="3"/>
      <c r="C7" s="16"/>
      <c r="D7" s="30"/>
      <c r="E7" s="9" t="s">
        <v>72</v>
      </c>
      <c r="F7" s="28">
        <f>F4+F5+F6</f>
        <v>3900000</v>
      </c>
      <c r="G7" s="46">
        <f>G4+G5+G6</f>
        <v>510000</v>
      </c>
      <c r="H7" s="19">
        <f>G7/F7</f>
        <v>0.13076923076923078</v>
      </c>
    </row>
    <row r="8" spans="1:8" x14ac:dyDescent="0.25">
      <c r="A8" s="2">
        <v>1</v>
      </c>
      <c r="B8" t="s">
        <v>5</v>
      </c>
      <c r="C8" s="14">
        <f>GEST.FARMAC!C8+GEST.MICRONIDO!C8</f>
        <v>460000</v>
      </c>
      <c r="D8" s="13"/>
      <c r="E8" s="24"/>
      <c r="F8" s="13"/>
    </row>
    <row r="9" spans="1:8" x14ac:dyDescent="0.25">
      <c r="A9" s="2">
        <v>2</v>
      </c>
      <c r="B9" t="s">
        <v>6</v>
      </c>
      <c r="C9" s="15">
        <f>GEST.FARMAC!C9+GEST.MICRONIDO!C9</f>
        <v>2280000</v>
      </c>
      <c r="D9" s="13"/>
      <c r="E9" s="24"/>
      <c r="F9" s="13"/>
    </row>
    <row r="10" spans="1:8" x14ac:dyDescent="0.25">
      <c r="A10" s="2">
        <v>3</v>
      </c>
      <c r="B10" t="s">
        <v>7</v>
      </c>
      <c r="C10" s="15">
        <f>GEST.FARMAC!C10+GEST.MICRONIDO!C10</f>
        <v>-510000</v>
      </c>
      <c r="D10" s="13"/>
      <c r="E10" s="24"/>
      <c r="F10" s="13"/>
    </row>
    <row r="11" spans="1:8" x14ac:dyDescent="0.25">
      <c r="A11" s="2"/>
      <c r="C11" s="15"/>
      <c r="D11" s="13"/>
      <c r="E11" s="24"/>
      <c r="F11" s="13"/>
    </row>
    <row r="12" spans="1:8" x14ac:dyDescent="0.25">
      <c r="A12" s="35" t="s">
        <v>8</v>
      </c>
      <c r="B12" s="36" t="s">
        <v>9</v>
      </c>
      <c r="C12" s="28">
        <f>C8+C9+C10</f>
        <v>2230000</v>
      </c>
      <c r="D12" s="13"/>
      <c r="E12" s="39"/>
      <c r="F12" s="39"/>
      <c r="G12" s="39"/>
      <c r="H12" s="39"/>
    </row>
    <row r="13" spans="1:8" x14ac:dyDescent="0.25">
      <c r="A13" s="2"/>
      <c r="C13" s="17"/>
      <c r="D13" s="49" t="s">
        <v>73</v>
      </c>
    </row>
    <row r="14" spans="1:8" x14ac:dyDescent="0.25">
      <c r="A14" s="35" t="s">
        <v>10</v>
      </c>
      <c r="B14" s="36" t="s">
        <v>11</v>
      </c>
      <c r="C14" s="28">
        <f>C6-C12</f>
        <v>1680000</v>
      </c>
      <c r="D14" s="12">
        <f>C14/C4</f>
        <v>0.42456406368460953</v>
      </c>
      <c r="E14" s="48"/>
      <c r="F14" s="48"/>
      <c r="G14" s="48"/>
      <c r="H14" s="48"/>
    </row>
    <row r="15" spans="1:8" x14ac:dyDescent="0.25">
      <c r="A15" s="5"/>
      <c r="B15" s="3"/>
      <c r="C15" s="17"/>
      <c r="D15" s="13"/>
      <c r="E15" s="24"/>
      <c r="F15" s="13"/>
    </row>
    <row r="16" spans="1:8" x14ac:dyDescent="0.25">
      <c r="A16" s="57">
        <v>4</v>
      </c>
      <c r="B16" t="s">
        <v>12</v>
      </c>
      <c r="C16" s="14">
        <f>GEST.FARMAC!C16+GEST.MICRONIDO!C16</f>
        <v>11000</v>
      </c>
      <c r="D16" s="13"/>
      <c r="E16" s="24"/>
      <c r="F16" s="13"/>
    </row>
    <row r="17" spans="1:9" x14ac:dyDescent="0.25">
      <c r="A17" s="57">
        <v>5</v>
      </c>
      <c r="B17" t="s">
        <v>13</v>
      </c>
      <c r="C17" s="15">
        <f>GEST.FARMAC!C17+GEST.MICRONIDO!C17</f>
        <v>40000</v>
      </c>
      <c r="D17" s="43"/>
      <c r="E17" s="50"/>
      <c r="F17" s="50"/>
      <c r="G17" s="50"/>
      <c r="H17" s="50"/>
    </row>
    <row r="18" spans="1:9" ht="36" customHeight="1" x14ac:dyDescent="0.25">
      <c r="A18" s="57">
        <v>6</v>
      </c>
      <c r="B18" s="63" t="s">
        <v>14</v>
      </c>
      <c r="C18" s="64">
        <f>GEST.FARMAC!C18+GEST.MICRONIDO!C18</f>
        <v>183000</v>
      </c>
      <c r="D18" s="65" t="s">
        <v>59</v>
      </c>
      <c r="F18" s="70" t="s">
        <v>85</v>
      </c>
      <c r="G18" s="71" t="s">
        <v>77</v>
      </c>
      <c r="H18" s="72" t="s">
        <v>78</v>
      </c>
      <c r="I18" s="80">
        <f>GEST.FARMAC!I19</f>
        <v>15</v>
      </c>
    </row>
    <row r="19" spans="1:9" x14ac:dyDescent="0.25">
      <c r="A19" s="57">
        <v>7</v>
      </c>
      <c r="B19" t="s">
        <v>15</v>
      </c>
      <c r="C19" s="37">
        <f>GEST.FARMAC!C19+GEST.MICRONIDO!C19</f>
        <v>465000</v>
      </c>
      <c r="D19" s="56">
        <f>C18+C19</f>
        <v>648000</v>
      </c>
      <c r="E19" s="24"/>
      <c r="F19" s="73">
        <f>GEST.FARMAC!F19</f>
        <v>16</v>
      </c>
      <c r="G19" s="74">
        <f>GEST.FARMAC!G19</f>
        <v>1</v>
      </c>
      <c r="H19" s="73">
        <f>GEST.FARMAC!H19</f>
        <v>0</v>
      </c>
      <c r="I19" s="73">
        <v>13.8</v>
      </c>
    </row>
    <row r="20" spans="1:9" x14ac:dyDescent="0.25">
      <c r="A20" s="57">
        <v>8</v>
      </c>
      <c r="B20" t="s">
        <v>16</v>
      </c>
      <c r="C20" s="37">
        <f>GEST.FARMAC!C20+GEST.MICRONIDO!C20</f>
        <v>6000</v>
      </c>
      <c r="D20" s="54">
        <f>D19/C4</f>
        <v>0.16376042456406367</v>
      </c>
      <c r="E20" s="51"/>
      <c r="F20" s="52"/>
      <c r="G20" s="53"/>
      <c r="H20" s="48"/>
    </row>
    <row r="21" spans="1:9" x14ac:dyDescent="0.25">
      <c r="A21" s="57">
        <v>9</v>
      </c>
      <c r="B21" t="s">
        <v>17</v>
      </c>
      <c r="C21" s="15">
        <f>GEST.FARMAC!C21+GEST.MICRONIDO!C21</f>
        <v>0</v>
      </c>
      <c r="D21" s="13"/>
      <c r="E21" s="24"/>
      <c r="F21" s="13"/>
    </row>
    <row r="22" spans="1:9" x14ac:dyDescent="0.25">
      <c r="A22" s="57">
        <v>10</v>
      </c>
      <c r="B22" t="s">
        <v>18</v>
      </c>
      <c r="C22" s="15">
        <f>GEST.FARMAC!C22+GEST.MICRONIDO!C22</f>
        <v>0</v>
      </c>
      <c r="D22" s="13"/>
      <c r="E22" s="24"/>
      <c r="F22" s="13"/>
      <c r="H22" s="21"/>
    </row>
    <row r="23" spans="1:9" x14ac:dyDescent="0.25">
      <c r="A23" s="2"/>
      <c r="C23" s="42"/>
      <c r="D23" s="13"/>
      <c r="E23" s="24"/>
      <c r="F23" s="13"/>
      <c r="H23" s="21"/>
    </row>
    <row r="24" spans="1:9" x14ac:dyDescent="0.25">
      <c r="A24" s="35" t="s">
        <v>19</v>
      </c>
      <c r="B24" s="36" t="s">
        <v>20</v>
      </c>
      <c r="C24" s="28">
        <f>SUM(C16:C22)</f>
        <v>705000</v>
      </c>
      <c r="D24" s="10"/>
      <c r="E24" s="25"/>
      <c r="F24" s="10"/>
    </row>
    <row r="25" spans="1:9" x14ac:dyDescent="0.25">
      <c r="A25" s="2"/>
      <c r="C25" s="15"/>
      <c r="D25" s="13"/>
      <c r="E25" s="24"/>
      <c r="F25" s="24"/>
    </row>
    <row r="26" spans="1:9" x14ac:dyDescent="0.25">
      <c r="A26" s="35" t="s">
        <v>21</v>
      </c>
      <c r="B26" s="36" t="s">
        <v>22</v>
      </c>
      <c r="C26" s="28">
        <f>C14-C24</f>
        <v>975000</v>
      </c>
      <c r="D26" s="10"/>
      <c r="E26" s="25"/>
      <c r="F26" s="25"/>
    </row>
    <row r="27" spans="1:9" x14ac:dyDescent="0.25">
      <c r="A27" s="5"/>
      <c r="B27" s="3"/>
      <c r="C27" s="17"/>
      <c r="D27" s="13"/>
      <c r="E27" s="24"/>
      <c r="F27" s="24"/>
    </row>
    <row r="28" spans="1:9" x14ac:dyDescent="0.25">
      <c r="A28" s="2">
        <v>11</v>
      </c>
      <c r="B28" t="s">
        <v>23</v>
      </c>
      <c r="C28" s="14">
        <f>GEST.FARMAC!C28+GEST.MICRONIDO!C28</f>
        <v>0</v>
      </c>
      <c r="D28" s="13"/>
      <c r="E28" s="24"/>
      <c r="F28" s="24"/>
    </row>
    <row r="29" spans="1:9" x14ac:dyDescent="0.25">
      <c r="A29" s="2">
        <v>12</v>
      </c>
      <c r="B29" t="s">
        <v>24</v>
      </c>
      <c r="C29" s="37">
        <f>GEST.FARMAC!C29+GEST.MICRONIDO!C29</f>
        <v>99000</v>
      </c>
      <c r="D29" s="24"/>
      <c r="E29" s="24"/>
      <c r="F29" s="24"/>
    </row>
    <row r="30" spans="1:9" x14ac:dyDescent="0.25">
      <c r="A30" s="2" t="s">
        <v>25</v>
      </c>
      <c r="B30" t="s">
        <v>26</v>
      </c>
      <c r="C30" s="15">
        <f>GEST.FARMAC!C30+GEST.MICRONIDO!C30</f>
        <v>40500</v>
      </c>
      <c r="D30" s="13"/>
      <c r="E30" s="24"/>
      <c r="F30" s="24"/>
    </row>
    <row r="31" spans="1:9" x14ac:dyDescent="0.25">
      <c r="A31" s="2">
        <v>13</v>
      </c>
      <c r="B31" t="s">
        <v>27</v>
      </c>
      <c r="C31" s="15">
        <f>GEST.FARMAC!C31+GEST.MICRONIDO!C31</f>
        <v>0</v>
      </c>
      <c r="D31" s="13"/>
      <c r="E31" s="24"/>
      <c r="F31" s="24"/>
    </row>
    <row r="32" spans="1:9" x14ac:dyDescent="0.25">
      <c r="A32" s="2">
        <v>14</v>
      </c>
      <c r="B32" t="s">
        <v>28</v>
      </c>
      <c r="C32" s="15">
        <f>GEST.FARMAC!C32+GEST.MICRONIDO!C32</f>
        <v>10000</v>
      </c>
      <c r="D32" s="13"/>
      <c r="E32" s="24"/>
      <c r="F32" s="24"/>
    </row>
    <row r="33" spans="1:7" x14ac:dyDescent="0.25">
      <c r="A33" s="2">
        <v>15</v>
      </c>
      <c r="B33" t="s">
        <v>29</v>
      </c>
      <c r="C33" s="15">
        <f>GEST.FARMAC!C33+GEST.MICRONIDO!C33</f>
        <v>167000</v>
      </c>
      <c r="D33" s="13"/>
      <c r="E33" s="24"/>
      <c r="F33" s="24"/>
    </row>
    <row r="34" spans="1:7" x14ac:dyDescent="0.25">
      <c r="A34" s="2">
        <v>16</v>
      </c>
      <c r="B34" t="s">
        <v>30</v>
      </c>
      <c r="C34" s="37">
        <f>GEST.FARMAC!C34+GEST.MICRONIDO!C34</f>
        <v>0</v>
      </c>
      <c r="D34" s="13"/>
      <c r="E34" s="24"/>
      <c r="F34" s="24"/>
    </row>
    <row r="35" spans="1:7" x14ac:dyDescent="0.25">
      <c r="A35" s="2" t="s">
        <v>31</v>
      </c>
      <c r="B35" t="s">
        <v>32</v>
      </c>
      <c r="C35" s="37">
        <f>GEST.FARMAC!C35+GEST.MICRONIDO!C35</f>
        <v>9050</v>
      </c>
      <c r="D35" s="24"/>
      <c r="E35" s="24"/>
      <c r="F35" s="24"/>
      <c r="G35" s="22"/>
    </row>
    <row r="36" spans="1:7" x14ac:dyDescent="0.25">
      <c r="A36" s="2">
        <v>17</v>
      </c>
      <c r="B36" t="s">
        <v>33</v>
      </c>
      <c r="C36" s="37">
        <f>GEST.FARMAC!C36+GEST.MICRONIDO!C36</f>
        <v>3700</v>
      </c>
      <c r="D36" s="24"/>
      <c r="E36" s="24"/>
      <c r="F36" s="24"/>
    </row>
    <row r="37" spans="1:7" x14ac:dyDescent="0.25">
      <c r="A37" s="2">
        <v>18</v>
      </c>
      <c r="B37" t="s">
        <v>34</v>
      </c>
      <c r="C37" s="15">
        <f>GEST.FARMAC!C37+GEST.MICRONIDO!C37</f>
        <v>18000</v>
      </c>
      <c r="D37" s="13"/>
      <c r="E37" s="24"/>
      <c r="F37" s="24"/>
    </row>
    <row r="38" spans="1:7" x14ac:dyDescent="0.25">
      <c r="A38" s="2">
        <v>19</v>
      </c>
      <c r="B38" t="s">
        <v>35</v>
      </c>
      <c r="C38" s="37">
        <f>GEST.FARMAC!C38+GEST.MICRONIDO!C38</f>
        <v>13000</v>
      </c>
      <c r="D38" s="13"/>
      <c r="E38" s="38"/>
      <c r="F38" s="24"/>
    </row>
    <row r="39" spans="1:7" x14ac:dyDescent="0.25">
      <c r="A39" s="2">
        <v>20</v>
      </c>
      <c r="B39" t="s">
        <v>36</v>
      </c>
      <c r="C39" s="15">
        <f>GEST.FARMAC!C39+GEST.MICRONIDO!C39</f>
        <v>7600</v>
      </c>
      <c r="D39" s="13"/>
      <c r="E39" s="24"/>
      <c r="F39" s="24"/>
    </row>
    <row r="40" spans="1:7" x14ac:dyDescent="0.25">
      <c r="A40" s="2">
        <v>21</v>
      </c>
      <c r="B40" t="s">
        <v>37</v>
      </c>
      <c r="C40" s="15">
        <f>GEST.FARMAC!C40+GEST.MICRONIDO!C40</f>
        <v>80000</v>
      </c>
      <c r="D40" s="13"/>
      <c r="E40" s="24"/>
      <c r="F40" s="24"/>
    </row>
    <row r="41" spans="1:7" x14ac:dyDescent="0.25">
      <c r="A41" s="2">
        <v>22</v>
      </c>
      <c r="B41" t="s">
        <v>38</v>
      </c>
      <c r="C41" s="15">
        <f>GEST.FARMAC!C41+GEST.MICRONIDO!C41</f>
        <v>306400</v>
      </c>
      <c r="D41" s="13"/>
      <c r="E41" s="24"/>
      <c r="F41" s="24"/>
      <c r="G41" s="22"/>
    </row>
    <row r="42" spans="1:7" x14ac:dyDescent="0.25">
      <c r="A42" s="2">
        <v>23</v>
      </c>
      <c r="B42" t="s">
        <v>67</v>
      </c>
      <c r="C42" s="15">
        <f>GEST.FARMAC!C42+GEST.MICRONIDO!C42</f>
        <v>7500</v>
      </c>
      <c r="D42" s="13"/>
      <c r="E42" s="24"/>
      <c r="F42" s="24"/>
      <c r="G42" s="22"/>
    </row>
    <row r="43" spans="1:7" x14ac:dyDescent="0.25">
      <c r="A43" s="2">
        <v>24</v>
      </c>
      <c r="B43" t="s">
        <v>66</v>
      </c>
      <c r="C43" s="15">
        <f>GEST.FARMAC!C43+GEST.MICRONIDO!C43</f>
        <v>0</v>
      </c>
      <c r="D43" s="13"/>
      <c r="E43" s="24"/>
      <c r="F43" s="24"/>
      <c r="G43" s="22"/>
    </row>
    <row r="44" spans="1:7" x14ac:dyDescent="0.25">
      <c r="A44" s="2"/>
      <c r="C44" s="15"/>
      <c r="D44" s="13"/>
      <c r="E44" s="24"/>
      <c r="F44" s="24"/>
    </row>
    <row r="45" spans="1:7" x14ac:dyDescent="0.25">
      <c r="A45" s="33" t="s">
        <v>39</v>
      </c>
      <c r="B45" s="34" t="s">
        <v>40</v>
      </c>
      <c r="C45" s="28">
        <f>SUM(C28:C43)</f>
        <v>761750</v>
      </c>
      <c r="D45" s="10"/>
      <c r="E45" s="25"/>
      <c r="F45" s="25"/>
    </row>
    <row r="46" spans="1:7" x14ac:dyDescent="0.25">
      <c r="A46" s="2"/>
      <c r="C46" s="15"/>
      <c r="D46" s="13"/>
      <c r="E46" s="24"/>
      <c r="F46" s="24"/>
    </row>
    <row r="47" spans="1:7" x14ac:dyDescent="0.25">
      <c r="A47" s="33" t="s">
        <v>41</v>
      </c>
      <c r="B47" s="34" t="s">
        <v>42</v>
      </c>
      <c r="C47" s="28">
        <f>C26-C45</f>
        <v>213250</v>
      </c>
      <c r="D47" s="10"/>
      <c r="E47" s="25"/>
      <c r="F47" s="25"/>
    </row>
    <row r="48" spans="1:7" x14ac:dyDescent="0.25">
      <c r="A48" s="2"/>
      <c r="B48" s="3"/>
      <c r="C48" s="17"/>
      <c r="D48" s="13"/>
      <c r="E48" s="24"/>
      <c r="F48" s="24"/>
    </row>
    <row r="49" spans="1:6" x14ac:dyDescent="0.25">
      <c r="A49" s="4" t="s">
        <v>43</v>
      </c>
      <c r="B49" s="8" t="s">
        <v>44</v>
      </c>
      <c r="C49" s="14">
        <f>GEST.FARMAC!C49+GEST.MICRONIDO!C49</f>
        <v>-10000</v>
      </c>
      <c r="D49" s="13"/>
      <c r="E49" s="24"/>
      <c r="F49" s="24"/>
    </row>
    <row r="50" spans="1:6" x14ac:dyDescent="0.25">
      <c r="A50" s="2"/>
      <c r="C50" s="15"/>
      <c r="D50" s="13"/>
      <c r="E50" s="24"/>
      <c r="F50" s="24"/>
    </row>
    <row r="51" spans="1:6" x14ac:dyDescent="0.25">
      <c r="A51" s="33" t="s">
        <v>45</v>
      </c>
      <c r="B51" s="34" t="s">
        <v>46</v>
      </c>
      <c r="C51" s="28">
        <f>C47+C49</f>
        <v>203250</v>
      </c>
      <c r="D51" s="10"/>
      <c r="E51" s="25"/>
      <c r="F51" s="25"/>
    </row>
    <row r="52" spans="1:6" x14ac:dyDescent="0.25">
      <c r="A52" s="2"/>
      <c r="B52" s="3"/>
      <c r="C52" s="17"/>
      <c r="D52" s="13"/>
      <c r="E52" s="24"/>
      <c r="F52" s="24"/>
    </row>
    <row r="53" spans="1:6" x14ac:dyDescent="0.25">
      <c r="A53" s="4" t="s">
        <v>47</v>
      </c>
      <c r="B53" s="8" t="s">
        <v>48</v>
      </c>
      <c r="C53" s="14">
        <f>GEST.FARMAC!C53+GEST.MICRONIDO!C53</f>
        <v>-5000</v>
      </c>
      <c r="D53" s="13"/>
      <c r="E53" s="24"/>
      <c r="F53" s="24"/>
    </row>
    <row r="54" spans="1:6" x14ac:dyDescent="0.25">
      <c r="A54" s="2" t="s">
        <v>49</v>
      </c>
      <c r="B54" t="s">
        <v>50</v>
      </c>
      <c r="C54" s="15">
        <f>GEST.FARMAC!C54+GEST.MICRONIDO!C54</f>
        <v>40000</v>
      </c>
      <c r="D54" s="13"/>
      <c r="E54" s="24"/>
      <c r="F54" s="24"/>
    </row>
    <row r="55" spans="1:6" x14ac:dyDescent="0.25">
      <c r="A55" s="2" t="s">
        <v>51</v>
      </c>
      <c r="B55" t="s">
        <v>52</v>
      </c>
      <c r="C55" s="15">
        <f>GEST.FARMAC!C55+GEST.MICRONIDO!C55</f>
        <v>1000</v>
      </c>
      <c r="D55" s="13"/>
      <c r="E55" s="24"/>
      <c r="F55" s="24"/>
    </row>
    <row r="56" spans="1:6" x14ac:dyDescent="0.25">
      <c r="A56" s="2"/>
      <c r="C56" s="15"/>
      <c r="D56" s="13"/>
      <c r="E56" s="24"/>
      <c r="F56" s="24"/>
    </row>
    <row r="57" spans="1:6" x14ac:dyDescent="0.25">
      <c r="A57" s="33" t="s">
        <v>53</v>
      </c>
      <c r="B57" s="34" t="s">
        <v>54</v>
      </c>
      <c r="C57" s="28">
        <f>C51+C53+C54+C55</f>
        <v>239250</v>
      </c>
      <c r="D57" s="10"/>
      <c r="E57" s="25"/>
      <c r="F57" s="25"/>
    </row>
    <row r="58" spans="1:6" x14ac:dyDescent="0.25">
      <c r="A58" s="2"/>
      <c r="B58" s="3"/>
      <c r="C58" s="17"/>
      <c r="D58" s="13"/>
      <c r="E58" s="24"/>
      <c r="F58" s="24"/>
    </row>
    <row r="59" spans="1:6" x14ac:dyDescent="0.25">
      <c r="A59" s="4" t="s">
        <v>55</v>
      </c>
      <c r="B59" s="8" t="s">
        <v>56</v>
      </c>
      <c r="C59" s="14">
        <f>GEST.FARMAC!C59+GEST.MICRONIDO!C59</f>
        <v>54744.05</v>
      </c>
      <c r="D59" s="13"/>
      <c r="E59" s="24"/>
      <c r="F59" s="24"/>
    </row>
    <row r="60" spans="1:6" x14ac:dyDescent="0.25">
      <c r="A60" s="2"/>
      <c r="C60" s="15"/>
      <c r="D60" s="13"/>
      <c r="E60" s="24"/>
      <c r="F60" s="24"/>
    </row>
    <row r="61" spans="1:6" x14ac:dyDescent="0.25">
      <c r="A61" s="33" t="s">
        <v>57</v>
      </c>
      <c r="B61" s="34" t="s">
        <v>58</v>
      </c>
      <c r="C61" s="28">
        <f>C57-C59</f>
        <v>184505.95</v>
      </c>
      <c r="D61" s="25"/>
      <c r="E61" s="25"/>
      <c r="F61" s="25"/>
    </row>
    <row r="62" spans="1:6" x14ac:dyDescent="0.25">
      <c r="B62" s="11" t="s">
        <v>60</v>
      </c>
      <c r="C62" s="27">
        <f>C61+C41-(C41*24.5/100)</f>
        <v>415837.95</v>
      </c>
      <c r="D62" s="25"/>
      <c r="E62" s="25"/>
      <c r="F62" s="25"/>
    </row>
    <row r="63" spans="1:6" x14ac:dyDescent="0.25">
      <c r="B63" s="11" t="s">
        <v>61</v>
      </c>
      <c r="C63" s="27">
        <f>C61+C34+C33+C32</f>
        <v>361505.95</v>
      </c>
      <c r="D63" s="25"/>
      <c r="E63" s="25"/>
      <c r="F63" s="25"/>
    </row>
    <row r="64" spans="1:6" x14ac:dyDescent="0.25">
      <c r="B64" s="9" t="s">
        <v>62</v>
      </c>
      <c r="C64" s="19">
        <f>(C61+C59-C55-C54-C53-C49)/C4</f>
        <v>5.3891837250442255E-2</v>
      </c>
      <c r="D64" s="26"/>
      <c r="E64" s="26"/>
      <c r="F64" s="26"/>
    </row>
    <row r="65" spans="2:6" x14ac:dyDescent="0.25">
      <c r="B65" s="9" t="s">
        <v>63</v>
      </c>
      <c r="C65" s="19">
        <f>(C61+C59-C55-C54-C53-C49+C34+C33+C32)/C4</f>
        <v>9.8622693960070756E-2</v>
      </c>
      <c r="D65" s="26"/>
      <c r="E65" s="26"/>
      <c r="F65" s="26"/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5"/>
  <sheetViews>
    <sheetView topLeftCell="A31" workbookViewId="0">
      <selection activeCell="C67" sqref="C67"/>
    </sheetView>
  </sheetViews>
  <sheetFormatPr defaultColWidth="7.28515625" defaultRowHeight="15" x14ac:dyDescent="0.25"/>
  <cols>
    <col min="1" max="1" width="7.140625" bestFit="1" customWidth="1"/>
    <col min="2" max="2" width="63.28515625" bestFit="1" customWidth="1"/>
    <col min="3" max="3" width="14.5703125" bestFit="1" customWidth="1"/>
    <col min="4" max="4" width="28.5703125" bestFit="1" customWidth="1"/>
    <col min="5" max="5" width="10.5703125" bestFit="1" customWidth="1"/>
    <col min="6" max="6" width="14.28515625" bestFit="1" customWidth="1"/>
    <col min="7" max="7" width="12" bestFit="1" customWidth="1"/>
    <col min="8" max="8" width="11.5703125" customWidth="1"/>
    <col min="9" max="9" width="14.28515625" bestFit="1" customWidth="1"/>
    <col min="10" max="10" width="14.7109375" customWidth="1"/>
    <col min="11" max="11" width="13.28515625" customWidth="1"/>
    <col min="12" max="14" width="11.5703125" customWidth="1"/>
    <col min="15" max="15" width="13.28515625" style="21" bestFit="1" customWidth="1"/>
  </cols>
  <sheetData>
    <row r="1" spans="1:25" ht="28.5" x14ac:dyDescent="0.25">
      <c r="A1" s="83" t="s">
        <v>74</v>
      </c>
      <c r="B1" s="84"/>
      <c r="C1" s="85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31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8.5" x14ac:dyDescent="0.25">
      <c r="A2" s="83" t="s">
        <v>79</v>
      </c>
      <c r="B2" s="84"/>
      <c r="C2" s="85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32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x14ac:dyDescent="0.25">
      <c r="A3" s="1"/>
      <c r="B3" s="33" t="s">
        <v>0</v>
      </c>
      <c r="C3" s="1" t="s">
        <v>80</v>
      </c>
      <c r="D3" s="29"/>
      <c r="E3" s="33">
        <v>2024</v>
      </c>
      <c r="F3" s="1" t="s">
        <v>64</v>
      </c>
      <c r="G3" s="1" t="s">
        <v>65</v>
      </c>
      <c r="H3" s="1" t="s">
        <v>69</v>
      </c>
      <c r="I3" s="39"/>
    </row>
    <row r="4" spans="1:25" x14ac:dyDescent="0.25">
      <c r="A4" s="2"/>
      <c r="B4" t="s">
        <v>1</v>
      </c>
      <c r="C4" s="14">
        <f>C6-C5</f>
        <v>3957000</v>
      </c>
      <c r="D4" s="13"/>
      <c r="E4" s="20" t="s">
        <v>68</v>
      </c>
      <c r="F4" s="45">
        <v>1450000</v>
      </c>
      <c r="G4" s="41">
        <v>230000</v>
      </c>
      <c r="H4" s="44">
        <f>G4/F4</f>
        <v>0.15862068965517243</v>
      </c>
      <c r="I4" s="40"/>
      <c r="J4" s="40"/>
      <c r="K4" s="22"/>
    </row>
    <row r="5" spans="1:25" x14ac:dyDescent="0.25">
      <c r="A5" s="2"/>
      <c r="B5" t="s">
        <v>2</v>
      </c>
      <c r="C5" s="15">
        <v>-47000</v>
      </c>
      <c r="D5" s="13"/>
      <c r="E5" s="20" t="s">
        <v>71</v>
      </c>
      <c r="F5" s="45">
        <v>1300000</v>
      </c>
      <c r="G5" s="41">
        <v>150000</v>
      </c>
      <c r="H5" s="44">
        <f>G5/F5</f>
        <v>0.11538461538461539</v>
      </c>
      <c r="I5" s="40"/>
      <c r="J5" s="40"/>
    </row>
    <row r="6" spans="1:25" x14ac:dyDescent="0.25">
      <c r="A6" s="33" t="s">
        <v>3</v>
      </c>
      <c r="B6" s="34" t="s">
        <v>4</v>
      </c>
      <c r="C6" s="28">
        <f>F7+10000</f>
        <v>3910000</v>
      </c>
      <c r="D6" s="10"/>
      <c r="E6" s="20" t="s">
        <v>70</v>
      </c>
      <c r="F6" s="45">
        <v>1150000</v>
      </c>
      <c r="G6" s="41">
        <v>130000</v>
      </c>
      <c r="H6" s="44">
        <f>G6/F6</f>
        <v>0.11304347826086956</v>
      </c>
      <c r="I6" s="40"/>
      <c r="J6" s="40"/>
    </row>
    <row r="7" spans="1:25" x14ac:dyDescent="0.25">
      <c r="A7" s="7"/>
      <c r="B7" s="3"/>
      <c r="C7" s="16"/>
      <c r="D7" s="30"/>
      <c r="E7" s="9" t="s">
        <v>72</v>
      </c>
      <c r="F7" s="28">
        <f>F4+F5+F6</f>
        <v>3900000</v>
      </c>
      <c r="G7" s="46">
        <f>G4+G5+G6</f>
        <v>510000</v>
      </c>
      <c r="H7" s="19">
        <f>G7/F7</f>
        <v>0.13076923076923078</v>
      </c>
      <c r="I7" s="40"/>
      <c r="J7" s="40"/>
    </row>
    <row r="8" spans="1:25" x14ac:dyDescent="0.25">
      <c r="A8" s="2">
        <v>1</v>
      </c>
      <c r="B8" t="s">
        <v>5</v>
      </c>
      <c r="C8" s="78">
        <v>460000</v>
      </c>
      <c r="D8" s="13"/>
      <c r="E8" s="24"/>
      <c r="F8" s="13"/>
    </row>
    <row r="9" spans="1:25" x14ac:dyDescent="0.25">
      <c r="A9" s="2">
        <v>2</v>
      </c>
      <c r="B9" t="s">
        <v>6</v>
      </c>
      <c r="C9" s="15">
        <v>2280000</v>
      </c>
      <c r="D9" s="13"/>
      <c r="E9" s="24"/>
      <c r="F9" s="13"/>
    </row>
    <row r="10" spans="1:25" x14ac:dyDescent="0.25">
      <c r="A10" s="2">
        <v>3</v>
      </c>
      <c r="B10" t="s">
        <v>7</v>
      </c>
      <c r="C10" s="15">
        <f>-G7</f>
        <v>-510000</v>
      </c>
      <c r="D10" s="13"/>
      <c r="E10" s="24"/>
      <c r="F10" s="13"/>
      <c r="G10" s="22"/>
      <c r="J10" s="22"/>
    </row>
    <row r="11" spans="1:25" x14ac:dyDescent="0.25">
      <c r="A11" s="2"/>
      <c r="C11" s="15"/>
      <c r="D11" s="13"/>
      <c r="E11" s="24"/>
      <c r="F11" s="13"/>
      <c r="G11" s="22"/>
      <c r="H11" s="22"/>
    </row>
    <row r="12" spans="1:25" x14ac:dyDescent="0.25">
      <c r="A12" s="35" t="s">
        <v>8</v>
      </c>
      <c r="B12" s="36" t="s">
        <v>9</v>
      </c>
      <c r="C12" s="28">
        <f>C8+C9+C10</f>
        <v>2230000</v>
      </c>
      <c r="D12" s="13"/>
      <c r="E12" s="39"/>
      <c r="F12" s="39"/>
      <c r="G12" s="75"/>
      <c r="H12" s="39"/>
      <c r="I12" s="39"/>
      <c r="J12" s="39"/>
      <c r="K12" s="39"/>
      <c r="L12" s="39"/>
      <c r="M12" s="39"/>
      <c r="N12" s="39"/>
    </row>
    <row r="13" spans="1:25" x14ac:dyDescent="0.25">
      <c r="A13" s="2"/>
      <c r="C13" s="17"/>
      <c r="D13" s="49" t="s">
        <v>73</v>
      </c>
      <c r="O13" s="18"/>
    </row>
    <row r="14" spans="1:25" x14ac:dyDescent="0.25">
      <c r="A14" s="35" t="s">
        <v>10</v>
      </c>
      <c r="B14" s="36" t="s">
        <v>11</v>
      </c>
      <c r="C14" s="28">
        <f>C6-C12</f>
        <v>1680000</v>
      </c>
      <c r="D14" s="12">
        <f>C14/C4</f>
        <v>0.42456406368460953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18"/>
    </row>
    <row r="15" spans="1:25" x14ac:dyDescent="0.25">
      <c r="A15" s="5"/>
      <c r="B15" s="3"/>
      <c r="C15" s="17"/>
      <c r="D15" s="13"/>
      <c r="E15" s="24"/>
      <c r="F15" s="13"/>
      <c r="O15" s="18"/>
    </row>
    <row r="16" spans="1:25" x14ac:dyDescent="0.25">
      <c r="A16" s="57">
        <v>4</v>
      </c>
      <c r="B16" t="s">
        <v>12</v>
      </c>
      <c r="C16" s="14">
        <v>9000</v>
      </c>
      <c r="D16" s="13"/>
      <c r="E16" s="24"/>
      <c r="F16" s="13"/>
      <c r="G16" s="22"/>
      <c r="H16" s="22"/>
      <c r="O16" s="18"/>
    </row>
    <row r="17" spans="1:15" ht="20.25" customHeight="1" x14ac:dyDescent="0.25">
      <c r="A17" s="57">
        <v>5</v>
      </c>
      <c r="B17" t="s">
        <v>13</v>
      </c>
      <c r="C17" s="15">
        <f>30000</f>
        <v>30000</v>
      </c>
      <c r="D17" s="43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18"/>
    </row>
    <row r="18" spans="1:15" ht="33" customHeight="1" x14ac:dyDescent="0.25">
      <c r="A18" s="57">
        <v>6</v>
      </c>
      <c r="B18" t="s">
        <v>14</v>
      </c>
      <c r="C18" s="37">
        <v>183000</v>
      </c>
      <c r="D18" s="55" t="s">
        <v>59</v>
      </c>
      <c r="F18" s="70" t="s">
        <v>85</v>
      </c>
      <c r="G18" s="71" t="s">
        <v>77</v>
      </c>
      <c r="H18" s="72" t="s">
        <v>78</v>
      </c>
      <c r="I18" s="70" t="s">
        <v>84</v>
      </c>
      <c r="O18" s="18"/>
    </row>
    <row r="19" spans="1:15" x14ac:dyDescent="0.25">
      <c r="A19" s="57">
        <v>7</v>
      </c>
      <c r="B19" t="s">
        <v>15</v>
      </c>
      <c r="C19" s="37">
        <v>465000</v>
      </c>
      <c r="D19" s="56">
        <f>C18+C19</f>
        <v>648000</v>
      </c>
      <c r="E19" s="24"/>
      <c r="F19" s="73">
        <f>I19-H19+G19</f>
        <v>16</v>
      </c>
      <c r="G19" s="74">
        <v>1</v>
      </c>
      <c r="H19" s="73">
        <v>0</v>
      </c>
      <c r="I19" s="73">
        <v>15</v>
      </c>
      <c r="J19" s="13"/>
      <c r="K19" s="13"/>
      <c r="L19" s="13"/>
      <c r="M19" s="13"/>
      <c r="N19" s="13"/>
      <c r="O19" s="18"/>
    </row>
    <row r="20" spans="1:15" x14ac:dyDescent="0.25">
      <c r="A20" s="57">
        <v>8</v>
      </c>
      <c r="B20" t="s">
        <v>16</v>
      </c>
      <c r="C20" s="37">
        <v>5000</v>
      </c>
      <c r="D20" s="54">
        <f>D19/C4</f>
        <v>0.16376042456406367</v>
      </c>
      <c r="E20" s="51"/>
      <c r="F20" s="66"/>
      <c r="G20" s="67"/>
      <c r="H20" s="68"/>
      <c r="I20" s="69"/>
      <c r="J20" s="48"/>
      <c r="K20" s="48"/>
      <c r="L20" s="48"/>
      <c r="M20" s="48"/>
      <c r="N20" s="48"/>
      <c r="O20" s="18"/>
    </row>
    <row r="21" spans="1:15" x14ac:dyDescent="0.25">
      <c r="A21" s="57">
        <v>9</v>
      </c>
      <c r="B21" t="s">
        <v>17</v>
      </c>
      <c r="C21" s="15">
        <v>0</v>
      </c>
      <c r="D21" s="13"/>
      <c r="E21" s="24"/>
      <c r="F21" s="13"/>
      <c r="O21" s="18"/>
    </row>
    <row r="22" spans="1:15" x14ac:dyDescent="0.25">
      <c r="A22" s="57">
        <v>10</v>
      </c>
      <c r="B22" t="s">
        <v>18</v>
      </c>
      <c r="C22" s="15">
        <v>0</v>
      </c>
      <c r="D22" s="13"/>
      <c r="E22" s="24"/>
      <c r="F22" s="13"/>
      <c r="H22" s="21"/>
      <c r="K22" s="22"/>
    </row>
    <row r="23" spans="1:15" x14ac:dyDescent="0.25">
      <c r="A23" s="2"/>
      <c r="C23" s="42"/>
      <c r="D23" s="13"/>
      <c r="E23" s="24"/>
      <c r="F23" s="13"/>
      <c r="H23" s="21"/>
      <c r="K23" s="22"/>
    </row>
    <row r="24" spans="1:15" x14ac:dyDescent="0.25">
      <c r="A24" s="35" t="s">
        <v>19</v>
      </c>
      <c r="B24" s="36" t="s">
        <v>20</v>
      </c>
      <c r="C24" s="28">
        <f>SUM(C16:C22)</f>
        <v>692000</v>
      </c>
      <c r="D24" s="10"/>
      <c r="E24" s="25"/>
      <c r="F24" s="10"/>
      <c r="K24" s="21"/>
    </row>
    <row r="25" spans="1:15" x14ac:dyDescent="0.25">
      <c r="A25" s="2"/>
      <c r="C25" s="15"/>
      <c r="D25" s="13"/>
      <c r="E25" s="24"/>
      <c r="F25" s="24"/>
      <c r="K25" s="21"/>
    </row>
    <row r="26" spans="1:15" x14ac:dyDescent="0.25">
      <c r="A26" s="35" t="s">
        <v>21</v>
      </c>
      <c r="B26" s="36" t="s">
        <v>22</v>
      </c>
      <c r="C26" s="28">
        <f>C14-C24</f>
        <v>988000</v>
      </c>
      <c r="D26" s="10"/>
      <c r="E26" s="25"/>
      <c r="F26" s="25"/>
      <c r="K26" s="21"/>
    </row>
    <row r="27" spans="1:15" x14ac:dyDescent="0.25">
      <c r="A27" s="5"/>
      <c r="B27" s="3"/>
      <c r="C27" s="17"/>
      <c r="D27" s="13"/>
      <c r="E27" s="24"/>
      <c r="F27" s="24"/>
      <c r="K27" s="21"/>
    </row>
    <row r="28" spans="1:15" x14ac:dyDescent="0.25">
      <c r="A28" s="2">
        <v>11</v>
      </c>
      <c r="B28" t="s">
        <v>23</v>
      </c>
      <c r="C28" s="14">
        <v>0</v>
      </c>
      <c r="D28" s="13"/>
      <c r="E28" s="24"/>
      <c r="F28" s="24"/>
      <c r="K28" s="21"/>
    </row>
    <row r="29" spans="1:15" x14ac:dyDescent="0.25">
      <c r="A29" s="2">
        <v>12</v>
      </c>
      <c r="B29" t="s">
        <v>24</v>
      </c>
      <c r="C29" s="37">
        <v>90000</v>
      </c>
      <c r="D29" s="24"/>
      <c r="E29" s="24"/>
      <c r="F29" s="24"/>
      <c r="K29" s="21"/>
    </row>
    <row r="30" spans="1:15" x14ac:dyDescent="0.25">
      <c r="A30" s="2" t="s">
        <v>25</v>
      </c>
      <c r="B30" t="s">
        <v>26</v>
      </c>
      <c r="C30" s="15">
        <v>40500</v>
      </c>
      <c r="D30" s="13"/>
      <c r="E30" s="24"/>
      <c r="F30" s="24"/>
      <c r="K30" s="21"/>
    </row>
    <row r="31" spans="1:15" x14ac:dyDescent="0.25">
      <c r="A31" s="2">
        <v>13</v>
      </c>
      <c r="B31" t="s">
        <v>27</v>
      </c>
      <c r="C31" s="15">
        <v>0</v>
      </c>
      <c r="D31" s="13"/>
      <c r="E31" s="24"/>
      <c r="F31" s="24"/>
      <c r="K31" s="21"/>
    </row>
    <row r="32" spans="1:15" x14ac:dyDescent="0.25">
      <c r="A32" s="2">
        <v>14</v>
      </c>
      <c r="B32" t="s">
        <v>28</v>
      </c>
      <c r="C32" s="15">
        <v>10000</v>
      </c>
      <c r="D32" s="13"/>
      <c r="E32" s="24"/>
      <c r="F32" s="24"/>
      <c r="G32" s="22"/>
      <c r="K32" s="21"/>
    </row>
    <row r="33" spans="1:11" x14ac:dyDescent="0.25">
      <c r="A33" s="2">
        <v>15</v>
      </c>
      <c r="B33" t="s">
        <v>29</v>
      </c>
      <c r="C33" s="15">
        <v>150000</v>
      </c>
      <c r="D33" s="13"/>
      <c r="E33" s="24"/>
      <c r="F33" s="24"/>
      <c r="K33" s="21"/>
    </row>
    <row r="34" spans="1:11" x14ac:dyDescent="0.25">
      <c r="A34" s="2">
        <v>16</v>
      </c>
      <c r="B34" t="s">
        <v>30</v>
      </c>
      <c r="C34" s="37">
        <v>0</v>
      </c>
      <c r="D34" s="13"/>
      <c r="E34" s="24"/>
      <c r="F34" s="24"/>
      <c r="K34" s="21"/>
    </row>
    <row r="35" spans="1:11" x14ac:dyDescent="0.25">
      <c r="A35" s="2" t="s">
        <v>31</v>
      </c>
      <c r="B35" t="s">
        <v>32</v>
      </c>
      <c r="C35" s="37">
        <v>8200</v>
      </c>
      <c r="D35" s="24"/>
      <c r="E35" s="24"/>
      <c r="F35" s="24"/>
      <c r="G35" s="22"/>
    </row>
    <row r="36" spans="1:11" x14ac:dyDescent="0.25">
      <c r="A36" s="2">
        <v>17</v>
      </c>
      <c r="B36" t="s">
        <v>33</v>
      </c>
      <c r="C36" s="37">
        <v>3700</v>
      </c>
      <c r="D36" s="24"/>
      <c r="E36" s="24"/>
      <c r="F36" s="24"/>
    </row>
    <row r="37" spans="1:11" x14ac:dyDescent="0.25">
      <c r="A37" s="2">
        <v>18</v>
      </c>
      <c r="B37" t="s">
        <v>34</v>
      </c>
      <c r="C37" s="15">
        <v>18000</v>
      </c>
      <c r="D37" s="13"/>
      <c r="E37" s="24"/>
      <c r="F37" s="24"/>
    </row>
    <row r="38" spans="1:11" x14ac:dyDescent="0.25">
      <c r="A38" s="2">
        <v>19</v>
      </c>
      <c r="B38" t="s">
        <v>35</v>
      </c>
      <c r="C38" s="37">
        <v>13000</v>
      </c>
      <c r="D38" s="13"/>
      <c r="E38" s="38"/>
      <c r="F38" s="24"/>
    </row>
    <row r="39" spans="1:11" x14ac:dyDescent="0.25">
      <c r="A39" s="2">
        <v>20</v>
      </c>
      <c r="B39" t="s">
        <v>36</v>
      </c>
      <c r="C39" s="15">
        <v>5800</v>
      </c>
      <c r="D39" s="13"/>
      <c r="E39" s="24"/>
      <c r="F39" s="24"/>
    </row>
    <row r="40" spans="1:11" x14ac:dyDescent="0.25">
      <c r="A40" s="2">
        <v>21</v>
      </c>
      <c r="B40" t="s">
        <v>37</v>
      </c>
      <c r="C40" s="15">
        <f>26000+4000+30000+20000</f>
        <v>80000</v>
      </c>
      <c r="D40" s="13"/>
      <c r="E40" s="24"/>
      <c r="F40" s="24"/>
    </row>
    <row r="41" spans="1:11" x14ac:dyDescent="0.25">
      <c r="A41" s="2">
        <v>22</v>
      </c>
      <c r="B41" t="s">
        <v>38</v>
      </c>
      <c r="C41" s="15">
        <f>150000+(C6*4)/100</f>
        <v>306400</v>
      </c>
      <c r="D41" s="13"/>
      <c r="E41" s="24"/>
      <c r="F41" s="24"/>
      <c r="G41" s="22"/>
    </row>
    <row r="42" spans="1:11" x14ac:dyDescent="0.25">
      <c r="A42" s="2">
        <v>23</v>
      </c>
      <c r="B42" t="s">
        <v>67</v>
      </c>
      <c r="C42" s="15">
        <v>7500</v>
      </c>
      <c r="D42" s="13"/>
      <c r="E42" s="24"/>
      <c r="F42" s="24"/>
      <c r="G42" s="22"/>
    </row>
    <row r="43" spans="1:11" x14ac:dyDescent="0.25">
      <c r="A43" s="2">
        <v>24</v>
      </c>
      <c r="B43" t="s">
        <v>66</v>
      </c>
      <c r="C43" s="15">
        <v>0</v>
      </c>
      <c r="D43" s="13"/>
      <c r="E43" s="24"/>
      <c r="F43" s="24"/>
      <c r="G43" s="22"/>
    </row>
    <row r="44" spans="1:11" x14ac:dyDescent="0.25">
      <c r="A44" s="2"/>
      <c r="C44" s="15"/>
      <c r="D44" s="13"/>
      <c r="E44" s="24"/>
      <c r="F44" s="24"/>
    </row>
    <row r="45" spans="1:11" x14ac:dyDescent="0.25">
      <c r="A45" s="33" t="s">
        <v>39</v>
      </c>
      <c r="B45" s="34" t="s">
        <v>40</v>
      </c>
      <c r="C45" s="28">
        <f>SUM(C28:C43)</f>
        <v>733100</v>
      </c>
      <c r="D45" s="10"/>
      <c r="E45" s="25"/>
      <c r="F45" s="25"/>
    </row>
    <row r="46" spans="1:11" x14ac:dyDescent="0.25">
      <c r="A46" s="2"/>
      <c r="C46" s="15"/>
      <c r="D46" s="13"/>
      <c r="E46" s="24"/>
      <c r="F46" s="24"/>
    </row>
    <row r="47" spans="1:11" x14ac:dyDescent="0.25">
      <c r="A47" s="33" t="s">
        <v>41</v>
      </c>
      <c r="B47" s="34" t="s">
        <v>42</v>
      </c>
      <c r="C47" s="28">
        <f>C26-C45</f>
        <v>254900</v>
      </c>
      <c r="D47" s="10"/>
      <c r="E47" s="25"/>
      <c r="F47" s="25"/>
    </row>
    <row r="48" spans="1:11" x14ac:dyDescent="0.25">
      <c r="A48" s="2"/>
      <c r="B48" s="3"/>
      <c r="C48" s="17"/>
      <c r="D48" s="13"/>
      <c r="E48" s="24"/>
      <c r="F48" s="24"/>
    </row>
    <row r="49" spans="1:6" x14ac:dyDescent="0.25">
      <c r="A49" s="4" t="s">
        <v>43</v>
      </c>
      <c r="B49" s="8" t="s">
        <v>44</v>
      </c>
      <c r="C49" s="14">
        <v>-10000</v>
      </c>
      <c r="D49" s="13"/>
      <c r="E49" s="24"/>
      <c r="F49" s="24"/>
    </row>
    <row r="50" spans="1:6" x14ac:dyDescent="0.25">
      <c r="A50" s="2"/>
      <c r="C50" s="15"/>
      <c r="D50" s="13"/>
      <c r="E50" s="24"/>
      <c r="F50" s="24"/>
    </row>
    <row r="51" spans="1:6" x14ac:dyDescent="0.25">
      <c r="A51" s="33" t="s">
        <v>45</v>
      </c>
      <c r="B51" s="34" t="s">
        <v>46</v>
      </c>
      <c r="C51" s="28">
        <f>C47+C49</f>
        <v>244900</v>
      </c>
      <c r="D51" s="10"/>
      <c r="E51" s="25"/>
      <c r="F51" s="25"/>
    </row>
    <row r="52" spans="1:6" x14ac:dyDescent="0.25">
      <c r="A52" s="2"/>
      <c r="B52" s="3"/>
      <c r="C52" s="17"/>
      <c r="D52" s="13"/>
      <c r="E52" s="24"/>
      <c r="F52" s="24"/>
    </row>
    <row r="53" spans="1:6" x14ac:dyDescent="0.25">
      <c r="A53" s="4" t="s">
        <v>47</v>
      </c>
      <c r="B53" s="8" t="s">
        <v>48</v>
      </c>
      <c r="C53" s="14">
        <v>-5000</v>
      </c>
      <c r="D53" s="13"/>
      <c r="E53" s="24"/>
      <c r="F53" s="24"/>
    </row>
    <row r="54" spans="1:6" x14ac:dyDescent="0.25">
      <c r="A54" s="2" t="s">
        <v>49</v>
      </c>
      <c r="B54" t="s">
        <v>50</v>
      </c>
      <c r="C54" s="15">
        <v>22000</v>
      </c>
      <c r="D54" s="13"/>
      <c r="E54" s="24"/>
      <c r="F54" s="24"/>
    </row>
    <row r="55" spans="1:6" x14ac:dyDescent="0.25">
      <c r="A55" s="2" t="s">
        <v>51</v>
      </c>
      <c r="B55" t="s">
        <v>52</v>
      </c>
      <c r="C55" s="15">
        <v>1000</v>
      </c>
      <c r="D55" s="13"/>
      <c r="E55" s="24"/>
      <c r="F55" s="24"/>
    </row>
    <row r="56" spans="1:6" x14ac:dyDescent="0.25">
      <c r="A56" s="2"/>
      <c r="C56" s="15"/>
      <c r="D56" s="13"/>
      <c r="E56" s="24"/>
      <c r="F56" s="24"/>
    </row>
    <row r="57" spans="1:6" x14ac:dyDescent="0.25">
      <c r="A57" s="33" t="s">
        <v>53</v>
      </c>
      <c r="B57" s="34" t="s">
        <v>54</v>
      </c>
      <c r="C57" s="28">
        <f>C51+C53+C54+C55</f>
        <v>262900</v>
      </c>
      <c r="D57" s="10"/>
      <c r="E57" s="25"/>
      <c r="F57" s="25"/>
    </row>
    <row r="58" spans="1:6" x14ac:dyDescent="0.25">
      <c r="A58" s="2"/>
      <c r="B58" s="3"/>
      <c r="C58" s="17"/>
      <c r="D58" s="13"/>
      <c r="E58" s="24"/>
      <c r="F58" s="24"/>
    </row>
    <row r="59" spans="1:6" x14ac:dyDescent="0.25">
      <c r="A59" s="4" t="s">
        <v>55</v>
      </c>
      <c r="B59" s="8" t="s">
        <v>56</v>
      </c>
      <c r="C59" s="14">
        <f>C57*23.6/100</f>
        <v>62044.4</v>
      </c>
      <c r="D59" s="13"/>
      <c r="E59" s="24"/>
      <c r="F59" s="24"/>
    </row>
    <row r="60" spans="1:6" x14ac:dyDescent="0.25">
      <c r="A60" s="2"/>
      <c r="C60" s="15"/>
      <c r="D60" s="13"/>
      <c r="E60" s="24"/>
      <c r="F60" s="24"/>
    </row>
    <row r="61" spans="1:6" x14ac:dyDescent="0.25">
      <c r="A61" s="33" t="s">
        <v>57</v>
      </c>
      <c r="B61" s="34" t="s">
        <v>58</v>
      </c>
      <c r="C61" s="28">
        <f>C57-C59</f>
        <v>200855.6</v>
      </c>
      <c r="D61" s="25"/>
      <c r="E61" s="25"/>
      <c r="F61" s="25"/>
    </row>
    <row r="62" spans="1:6" x14ac:dyDescent="0.25">
      <c r="B62" s="11" t="s">
        <v>60</v>
      </c>
      <c r="C62" s="27">
        <f>C61+C41-(C41*24.5/100)</f>
        <v>432187.6</v>
      </c>
      <c r="D62" s="25"/>
      <c r="E62" s="25"/>
      <c r="F62" s="25"/>
    </row>
    <row r="63" spans="1:6" x14ac:dyDescent="0.25">
      <c r="B63" s="11" t="s">
        <v>61</v>
      </c>
      <c r="C63" s="27">
        <f>C61+C34+C33+C32</f>
        <v>360855.6</v>
      </c>
      <c r="D63" s="25"/>
      <c r="E63" s="25"/>
      <c r="F63" s="25"/>
    </row>
    <row r="64" spans="1:6" x14ac:dyDescent="0.25">
      <c r="B64" s="9" t="s">
        <v>62</v>
      </c>
      <c r="C64" s="19">
        <f>(C61+C59-C55-C54-C53-C49)/C4</f>
        <v>6.4417487995956535E-2</v>
      </c>
      <c r="D64" s="26"/>
      <c r="E64" s="26"/>
      <c r="F64" s="26"/>
    </row>
    <row r="65" spans="2:6" x14ac:dyDescent="0.25">
      <c r="B65" s="9" t="s">
        <v>63</v>
      </c>
      <c r="C65" s="19">
        <f>(C61+C59-C55-C54-C53-C49+C34+C33+C32)/C4</f>
        <v>0.10485216072782411</v>
      </c>
      <c r="D65" s="26"/>
      <c r="E65" s="26"/>
      <c r="F65" s="26"/>
    </row>
  </sheetData>
  <mergeCells count="2"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65"/>
  <sheetViews>
    <sheetView topLeftCell="A31" workbookViewId="0">
      <selection activeCell="C34" sqref="C34"/>
    </sheetView>
  </sheetViews>
  <sheetFormatPr defaultRowHeight="15" x14ac:dyDescent="0.25"/>
  <cols>
    <col min="1" max="1" width="10.140625" customWidth="1"/>
    <col min="2" max="2" width="32" bestFit="1" customWidth="1"/>
    <col min="3" max="3" width="14.5703125" bestFit="1" customWidth="1"/>
  </cols>
  <sheetData>
    <row r="1" spans="1:3" ht="28.5" x14ac:dyDescent="0.25">
      <c r="A1" s="83" t="s">
        <v>75</v>
      </c>
      <c r="B1" s="84"/>
      <c r="C1" s="85"/>
    </row>
    <row r="2" spans="1:3" ht="28.5" x14ac:dyDescent="0.25">
      <c r="A2" s="83" t="s">
        <v>79</v>
      </c>
      <c r="B2" s="84"/>
      <c r="C2" s="85"/>
    </row>
    <row r="3" spans="1:3" x14ac:dyDescent="0.25">
      <c r="A3" s="1"/>
      <c r="B3" s="33" t="s">
        <v>0</v>
      </c>
      <c r="C3" s="1" t="s">
        <v>80</v>
      </c>
    </row>
    <row r="4" spans="1:3" x14ac:dyDescent="0.25">
      <c r="A4" s="2"/>
      <c r="B4" t="s">
        <v>1</v>
      </c>
      <c r="C4" s="58">
        <v>0</v>
      </c>
    </row>
    <row r="5" spans="1:3" x14ac:dyDescent="0.25">
      <c r="A5" s="2"/>
      <c r="B5" t="s">
        <v>2</v>
      </c>
      <c r="C5" s="58">
        <v>0</v>
      </c>
    </row>
    <row r="6" spans="1:3" x14ac:dyDescent="0.25">
      <c r="A6" s="33" t="s">
        <v>3</v>
      </c>
      <c r="B6" s="34" t="s">
        <v>4</v>
      </c>
      <c r="C6" s="61">
        <f>C4+C5</f>
        <v>0</v>
      </c>
    </row>
    <row r="7" spans="1:3" x14ac:dyDescent="0.25">
      <c r="A7" s="7"/>
      <c r="B7" s="3"/>
      <c r="C7" s="59"/>
    </row>
    <row r="8" spans="1:3" x14ac:dyDescent="0.25">
      <c r="A8" s="2">
        <v>1</v>
      </c>
      <c r="B8" t="s">
        <v>5</v>
      </c>
      <c r="C8" s="58">
        <v>0</v>
      </c>
    </row>
    <row r="9" spans="1:3" x14ac:dyDescent="0.25">
      <c r="A9" s="2">
        <v>2</v>
      </c>
      <c r="B9" t="s">
        <v>6</v>
      </c>
      <c r="C9" s="58">
        <v>0</v>
      </c>
    </row>
    <row r="10" spans="1:3" x14ac:dyDescent="0.25">
      <c r="A10" s="2">
        <v>3</v>
      </c>
      <c r="B10" t="s">
        <v>7</v>
      </c>
      <c r="C10" s="58">
        <v>0</v>
      </c>
    </row>
    <row r="11" spans="1:3" x14ac:dyDescent="0.25">
      <c r="A11" s="2"/>
      <c r="C11" s="58"/>
    </row>
    <row r="12" spans="1:3" x14ac:dyDescent="0.25">
      <c r="A12" s="35" t="s">
        <v>8</v>
      </c>
      <c r="B12" s="36" t="s">
        <v>9</v>
      </c>
      <c r="C12" s="61">
        <f>-(C8+C9+C10)</f>
        <v>0</v>
      </c>
    </row>
    <row r="13" spans="1:3" x14ac:dyDescent="0.25">
      <c r="A13" s="2"/>
      <c r="C13" s="58"/>
    </row>
    <row r="14" spans="1:3" x14ac:dyDescent="0.25">
      <c r="A14" s="35" t="s">
        <v>10</v>
      </c>
      <c r="B14" s="36" t="s">
        <v>11</v>
      </c>
      <c r="C14" s="61">
        <f>C6-C12</f>
        <v>0</v>
      </c>
    </row>
    <row r="15" spans="1:3" x14ac:dyDescent="0.25">
      <c r="A15" s="62"/>
      <c r="B15" s="47"/>
      <c r="C15" s="60"/>
    </row>
    <row r="16" spans="1:3" x14ac:dyDescent="0.25">
      <c r="A16" s="57">
        <v>4</v>
      </c>
      <c r="B16" t="s">
        <v>12</v>
      </c>
      <c r="C16" s="58">
        <v>2000</v>
      </c>
    </row>
    <row r="17" spans="1:3" x14ac:dyDescent="0.25">
      <c r="A17" s="57">
        <v>5</v>
      </c>
      <c r="B17" t="s">
        <v>13</v>
      </c>
      <c r="C17" s="58">
        <v>10000</v>
      </c>
    </row>
    <row r="18" spans="1:3" x14ac:dyDescent="0.25">
      <c r="A18" s="57">
        <v>6</v>
      </c>
      <c r="B18" t="s">
        <v>14</v>
      </c>
      <c r="C18" s="58">
        <v>0</v>
      </c>
    </row>
    <row r="19" spans="1:3" x14ac:dyDescent="0.25">
      <c r="A19" s="57">
        <v>7</v>
      </c>
      <c r="B19" t="s">
        <v>15</v>
      </c>
      <c r="C19" s="58">
        <v>0</v>
      </c>
    </row>
    <row r="20" spans="1:3" x14ac:dyDescent="0.25">
      <c r="A20" s="57">
        <v>8</v>
      </c>
      <c r="B20" t="s">
        <v>16</v>
      </c>
      <c r="C20" s="58">
        <v>1000</v>
      </c>
    </row>
    <row r="21" spans="1:3" x14ac:dyDescent="0.25">
      <c r="A21" s="57">
        <v>9</v>
      </c>
      <c r="B21" t="s">
        <v>17</v>
      </c>
      <c r="C21" s="58">
        <v>0</v>
      </c>
    </row>
    <row r="22" spans="1:3" x14ac:dyDescent="0.25">
      <c r="A22" s="57">
        <v>10</v>
      </c>
      <c r="B22" t="s">
        <v>18</v>
      </c>
      <c r="C22" s="58">
        <v>0</v>
      </c>
    </row>
    <row r="23" spans="1:3" x14ac:dyDescent="0.25">
      <c r="A23" s="2"/>
      <c r="C23" s="58"/>
    </row>
    <row r="24" spans="1:3" x14ac:dyDescent="0.25">
      <c r="A24" s="35" t="s">
        <v>19</v>
      </c>
      <c r="B24" s="36" t="s">
        <v>20</v>
      </c>
      <c r="C24" s="61">
        <f>(SUM(C16:C22))</f>
        <v>13000</v>
      </c>
    </row>
    <row r="25" spans="1:3" x14ac:dyDescent="0.25">
      <c r="A25" s="2"/>
      <c r="C25" s="58"/>
    </row>
    <row r="26" spans="1:3" x14ac:dyDescent="0.25">
      <c r="A26" s="35" t="s">
        <v>21</v>
      </c>
      <c r="B26" s="36" t="s">
        <v>22</v>
      </c>
      <c r="C26" s="61">
        <f>C14-C24</f>
        <v>-13000</v>
      </c>
    </row>
    <row r="27" spans="1:3" x14ac:dyDescent="0.25">
      <c r="A27" s="62"/>
      <c r="B27" s="47"/>
      <c r="C27" s="60"/>
    </row>
    <row r="28" spans="1:3" x14ac:dyDescent="0.25">
      <c r="A28" s="2">
        <v>11</v>
      </c>
      <c r="B28" t="s">
        <v>23</v>
      </c>
      <c r="C28" s="58">
        <v>0</v>
      </c>
    </row>
    <row r="29" spans="1:3" x14ac:dyDescent="0.25">
      <c r="A29" s="2">
        <v>12</v>
      </c>
      <c r="B29" t="s">
        <v>24</v>
      </c>
      <c r="C29" s="58">
        <v>9000</v>
      </c>
    </row>
    <row r="30" spans="1:3" x14ac:dyDescent="0.25">
      <c r="A30" s="2" t="s">
        <v>25</v>
      </c>
      <c r="B30" t="s">
        <v>26</v>
      </c>
      <c r="C30" s="58">
        <v>0</v>
      </c>
    </row>
    <row r="31" spans="1:3" x14ac:dyDescent="0.25">
      <c r="A31" s="2">
        <v>13</v>
      </c>
      <c r="B31" t="s">
        <v>27</v>
      </c>
      <c r="C31" s="58">
        <v>0</v>
      </c>
    </row>
    <row r="32" spans="1:3" x14ac:dyDescent="0.25">
      <c r="A32" s="2">
        <v>14</v>
      </c>
      <c r="B32" t="s">
        <v>28</v>
      </c>
      <c r="C32" s="58">
        <v>0</v>
      </c>
    </row>
    <row r="33" spans="1:3" x14ac:dyDescent="0.25">
      <c r="A33" s="2">
        <v>15</v>
      </c>
      <c r="B33" t="s">
        <v>29</v>
      </c>
      <c r="C33" s="58">
        <v>17000</v>
      </c>
    </row>
    <row r="34" spans="1:3" x14ac:dyDescent="0.25">
      <c r="A34" s="2">
        <v>16</v>
      </c>
      <c r="B34" t="s">
        <v>30</v>
      </c>
      <c r="C34" s="58">
        <v>0</v>
      </c>
    </row>
    <row r="35" spans="1:3" x14ac:dyDescent="0.25">
      <c r="A35" s="2" t="s">
        <v>31</v>
      </c>
      <c r="B35" t="s">
        <v>32</v>
      </c>
      <c r="C35" s="58">
        <v>850</v>
      </c>
    </row>
    <row r="36" spans="1:3" x14ac:dyDescent="0.25">
      <c r="A36" s="2">
        <v>17</v>
      </c>
      <c r="B36" t="s">
        <v>33</v>
      </c>
      <c r="C36" s="58">
        <v>0</v>
      </c>
    </row>
    <row r="37" spans="1:3" x14ac:dyDescent="0.25">
      <c r="A37" s="2">
        <v>18</v>
      </c>
      <c r="B37" t="s">
        <v>34</v>
      </c>
      <c r="C37" s="58">
        <v>0</v>
      </c>
    </row>
    <row r="38" spans="1:3" x14ac:dyDescent="0.25">
      <c r="A38" s="2">
        <v>19</v>
      </c>
      <c r="B38" t="s">
        <v>35</v>
      </c>
      <c r="C38" s="58">
        <v>0</v>
      </c>
    </row>
    <row r="39" spans="1:3" x14ac:dyDescent="0.25">
      <c r="A39" s="2">
        <v>20</v>
      </c>
      <c r="B39" t="s">
        <v>36</v>
      </c>
      <c r="C39" s="58">
        <v>1800</v>
      </c>
    </row>
    <row r="40" spans="1:3" x14ac:dyDescent="0.25">
      <c r="A40" s="2">
        <v>21</v>
      </c>
      <c r="B40" t="s">
        <v>37</v>
      </c>
      <c r="C40" s="58">
        <v>0</v>
      </c>
    </row>
    <row r="41" spans="1:3" x14ac:dyDescent="0.25">
      <c r="A41" s="2">
        <v>22</v>
      </c>
      <c r="B41" t="s">
        <v>38</v>
      </c>
      <c r="C41" s="58">
        <v>0</v>
      </c>
    </row>
    <row r="42" spans="1:3" x14ac:dyDescent="0.25">
      <c r="A42" s="2">
        <v>23</v>
      </c>
      <c r="B42" t="s">
        <v>67</v>
      </c>
      <c r="C42" s="58">
        <v>0</v>
      </c>
    </row>
    <row r="43" spans="1:3" x14ac:dyDescent="0.25">
      <c r="A43" s="2">
        <v>24</v>
      </c>
      <c r="B43" t="s">
        <v>66</v>
      </c>
      <c r="C43" s="58">
        <v>0</v>
      </c>
    </row>
    <row r="44" spans="1:3" x14ac:dyDescent="0.25">
      <c r="A44" s="2"/>
      <c r="C44" s="58"/>
    </row>
    <row r="45" spans="1:3" x14ac:dyDescent="0.25">
      <c r="A45" s="33" t="s">
        <v>39</v>
      </c>
      <c r="B45" s="9" t="s">
        <v>40</v>
      </c>
      <c r="C45" s="61">
        <f>SUM(C28:C43)</f>
        <v>28650</v>
      </c>
    </row>
    <row r="46" spans="1:3" x14ac:dyDescent="0.25">
      <c r="A46" s="2"/>
      <c r="C46" s="58"/>
    </row>
    <row r="47" spans="1:3" x14ac:dyDescent="0.25">
      <c r="A47" s="33" t="s">
        <v>41</v>
      </c>
      <c r="B47" s="34" t="s">
        <v>42</v>
      </c>
      <c r="C47" s="61">
        <f>C26-C45</f>
        <v>-41650</v>
      </c>
    </row>
    <row r="48" spans="1:3" x14ac:dyDescent="0.25">
      <c r="A48" s="2"/>
      <c r="B48" s="47"/>
      <c r="C48" s="60"/>
    </row>
    <row r="49" spans="1:3" x14ac:dyDescent="0.25">
      <c r="A49" s="4" t="s">
        <v>43</v>
      </c>
      <c r="B49" s="8" t="s">
        <v>44</v>
      </c>
      <c r="C49" s="58">
        <v>0</v>
      </c>
    </row>
    <row r="50" spans="1:3" x14ac:dyDescent="0.25">
      <c r="A50" s="2"/>
      <c r="C50" s="58"/>
    </row>
    <row r="51" spans="1:3" x14ac:dyDescent="0.25">
      <c r="A51" s="33" t="s">
        <v>45</v>
      </c>
      <c r="B51" s="9" t="s">
        <v>46</v>
      </c>
      <c r="C51" s="61">
        <f>C47+C49</f>
        <v>-41650</v>
      </c>
    </row>
    <row r="52" spans="1:3" x14ac:dyDescent="0.25">
      <c r="A52" s="2"/>
      <c r="B52" s="47"/>
      <c r="C52" s="60"/>
    </row>
    <row r="53" spans="1:3" x14ac:dyDescent="0.25">
      <c r="A53" s="4" t="s">
        <v>47</v>
      </c>
      <c r="B53" s="8" t="s">
        <v>48</v>
      </c>
      <c r="C53" s="58">
        <v>0</v>
      </c>
    </row>
    <row r="54" spans="1:3" x14ac:dyDescent="0.25">
      <c r="A54" s="2" t="s">
        <v>49</v>
      </c>
      <c r="B54" t="s">
        <v>50</v>
      </c>
      <c r="C54" s="58">
        <v>18000</v>
      </c>
    </row>
    <row r="55" spans="1:3" x14ac:dyDescent="0.25">
      <c r="A55" s="2" t="s">
        <v>51</v>
      </c>
      <c r="B55" t="s">
        <v>52</v>
      </c>
      <c r="C55" s="58">
        <v>0</v>
      </c>
    </row>
    <row r="56" spans="1:3" x14ac:dyDescent="0.25">
      <c r="A56" s="2"/>
      <c r="C56" s="58"/>
    </row>
    <row r="57" spans="1:3" x14ac:dyDescent="0.25">
      <c r="A57" s="33" t="s">
        <v>53</v>
      </c>
      <c r="B57" s="34" t="s">
        <v>54</v>
      </c>
      <c r="C57" s="61">
        <f>C51-C53+C54+C55</f>
        <v>-23650</v>
      </c>
    </row>
    <row r="58" spans="1:3" x14ac:dyDescent="0.25">
      <c r="A58" s="2"/>
      <c r="B58" s="47"/>
      <c r="C58" s="60"/>
    </row>
    <row r="59" spans="1:3" x14ac:dyDescent="0.25">
      <c r="A59" s="4" t="s">
        <v>55</v>
      </c>
      <c r="B59" s="8" t="s">
        <v>56</v>
      </c>
      <c r="C59" s="58">
        <f>((C57*0.24)+(C47*0.039))</f>
        <v>-7300.35</v>
      </c>
    </row>
    <row r="60" spans="1:3" x14ac:dyDescent="0.25">
      <c r="A60" s="2"/>
      <c r="C60" s="58"/>
    </row>
    <row r="61" spans="1:3" x14ac:dyDescent="0.25">
      <c r="A61" s="33" t="s">
        <v>57</v>
      </c>
      <c r="B61" s="34" t="s">
        <v>58</v>
      </c>
      <c r="C61" s="61">
        <f>C57-C59</f>
        <v>-16349.65</v>
      </c>
    </row>
    <row r="62" spans="1:3" x14ac:dyDescent="0.25">
      <c r="B62" s="39"/>
    </row>
    <row r="63" spans="1:3" x14ac:dyDescent="0.25">
      <c r="B63" s="39"/>
    </row>
    <row r="64" spans="1:3" x14ac:dyDescent="0.25">
      <c r="B64" s="39"/>
    </row>
    <row r="65" spans="2:2" x14ac:dyDescent="0.25">
      <c r="B65" s="39"/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0E5F-E119-47E8-A6F9-4D21E1FFA59C}">
  <sheetPr>
    <pageSetUpPr fitToPage="1"/>
  </sheetPr>
  <dimension ref="A1:C15"/>
  <sheetViews>
    <sheetView workbookViewId="0">
      <selection activeCell="G14" sqref="G14"/>
    </sheetView>
  </sheetViews>
  <sheetFormatPr defaultRowHeight="15" x14ac:dyDescent="0.25"/>
  <cols>
    <col min="1" max="1" width="78.5703125" customWidth="1"/>
    <col min="2" max="2" width="24.28515625" customWidth="1"/>
    <col min="3" max="3" width="29.5703125" customWidth="1"/>
  </cols>
  <sheetData>
    <row r="1" spans="1:3" ht="28.5" x14ac:dyDescent="0.25">
      <c r="A1" s="83" t="s">
        <v>74</v>
      </c>
      <c r="B1" s="84"/>
      <c r="C1" s="85"/>
    </row>
    <row r="2" spans="1:3" ht="28.5" x14ac:dyDescent="0.25">
      <c r="A2" s="83" t="s">
        <v>83</v>
      </c>
      <c r="B2" s="84"/>
      <c r="C2" s="85"/>
    </row>
    <row r="3" spans="1:3" x14ac:dyDescent="0.25">
      <c r="A3" s="33" t="s">
        <v>0</v>
      </c>
      <c r="B3" s="88" t="s">
        <v>81</v>
      </c>
      <c r="C3" s="89"/>
    </row>
    <row r="4" spans="1:3" x14ac:dyDescent="0.25">
      <c r="A4" s="79" t="s">
        <v>86</v>
      </c>
      <c r="B4" s="86">
        <v>180000</v>
      </c>
      <c r="C4" s="87"/>
    </row>
    <row r="5" spans="1:3" x14ac:dyDescent="0.25">
      <c r="A5" s="79" t="s">
        <v>87</v>
      </c>
      <c r="B5" s="86">
        <v>38000</v>
      </c>
      <c r="C5" s="87"/>
    </row>
    <row r="6" spans="1:3" x14ac:dyDescent="0.25">
      <c r="A6" s="79" t="s">
        <v>88</v>
      </c>
      <c r="B6" s="86">
        <v>35000</v>
      </c>
      <c r="C6" s="87"/>
    </row>
    <row r="7" spans="1:3" x14ac:dyDescent="0.25">
      <c r="A7" s="79" t="s">
        <v>89</v>
      </c>
      <c r="B7" s="86">
        <v>90000</v>
      </c>
      <c r="C7" s="87"/>
    </row>
    <row r="8" spans="1:3" x14ac:dyDescent="0.25">
      <c r="A8" s="79" t="s">
        <v>90</v>
      </c>
      <c r="B8" s="86">
        <v>20000</v>
      </c>
      <c r="C8" s="87"/>
    </row>
    <row r="9" spans="1:3" x14ac:dyDescent="0.25">
      <c r="A9" s="79" t="s">
        <v>91</v>
      </c>
      <c r="B9" s="86">
        <v>5000</v>
      </c>
      <c r="C9" s="87"/>
    </row>
    <row r="10" spans="1:3" x14ac:dyDescent="0.25">
      <c r="A10" s="79" t="s">
        <v>92</v>
      </c>
      <c r="B10" s="86">
        <v>25000</v>
      </c>
      <c r="C10" s="87"/>
    </row>
    <row r="11" spans="1:3" x14ac:dyDescent="0.25">
      <c r="A11" s="79" t="s">
        <v>94</v>
      </c>
      <c r="B11" s="86">
        <v>9000</v>
      </c>
      <c r="C11" s="87"/>
    </row>
    <row r="12" spans="1:3" x14ac:dyDescent="0.25">
      <c r="A12" s="79" t="s">
        <v>93</v>
      </c>
      <c r="B12" s="86">
        <f>1000+2000+4000+12000</f>
        <v>19000</v>
      </c>
      <c r="C12" s="87"/>
    </row>
    <row r="13" spans="1:3" x14ac:dyDescent="0.25">
      <c r="A13" s="77" t="s">
        <v>82</v>
      </c>
      <c r="B13" s="90">
        <f>SUM(B4:C12)</f>
        <v>421000</v>
      </c>
      <c r="C13" s="89"/>
    </row>
    <row r="15" spans="1:3" x14ac:dyDescent="0.25">
      <c r="C15" s="22"/>
    </row>
  </sheetData>
  <mergeCells count="13">
    <mergeCell ref="B11:C11"/>
    <mergeCell ref="A1:C1"/>
    <mergeCell ref="A2:C2"/>
    <mergeCell ref="B3:C3"/>
    <mergeCell ref="B13:C13"/>
    <mergeCell ref="B12:C12"/>
    <mergeCell ref="B4:C4"/>
    <mergeCell ref="B5:C5"/>
    <mergeCell ref="B6:C6"/>
    <mergeCell ref="B7:C7"/>
    <mergeCell ref="B8:C8"/>
    <mergeCell ref="B9:C9"/>
    <mergeCell ref="B10:C10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4568A-C074-4742-86B0-220DFC6B8A5B}">
  <sheetPr>
    <pageSetUpPr fitToPage="1"/>
  </sheetPr>
  <dimension ref="A1:C5"/>
  <sheetViews>
    <sheetView tabSelected="1" workbookViewId="0">
      <selection activeCell="A6" sqref="A6"/>
    </sheetView>
  </sheetViews>
  <sheetFormatPr defaultRowHeight="15" x14ac:dyDescent="0.25"/>
  <cols>
    <col min="1" max="1" width="42.140625" bestFit="1" customWidth="1"/>
    <col min="3" max="3" width="30.5703125" customWidth="1"/>
  </cols>
  <sheetData>
    <row r="1" spans="1:3" ht="28.5" x14ac:dyDescent="0.25">
      <c r="A1" s="83" t="s">
        <v>75</v>
      </c>
      <c r="B1" s="84"/>
      <c r="C1" s="85"/>
    </row>
    <row r="2" spans="1:3" ht="28.5" x14ac:dyDescent="0.25">
      <c r="A2" s="83" t="s">
        <v>83</v>
      </c>
      <c r="B2" s="84"/>
      <c r="C2" s="85"/>
    </row>
    <row r="3" spans="1:3" x14ac:dyDescent="0.25">
      <c r="A3" s="33" t="s">
        <v>0</v>
      </c>
      <c r="B3" s="88" t="s">
        <v>81</v>
      </c>
      <c r="C3" s="89"/>
    </row>
    <row r="4" spans="1:3" x14ac:dyDescent="0.25">
      <c r="A4" s="76" t="s">
        <v>95</v>
      </c>
      <c r="B4" s="93">
        <v>30000</v>
      </c>
      <c r="C4" s="93"/>
    </row>
    <row r="5" spans="1:3" x14ac:dyDescent="0.25">
      <c r="A5" s="77" t="s">
        <v>82</v>
      </c>
      <c r="B5" s="91">
        <f>B4</f>
        <v>30000</v>
      </c>
      <c r="C5" s="92"/>
    </row>
  </sheetData>
  <mergeCells count="5">
    <mergeCell ref="B5:C5"/>
    <mergeCell ref="A1:C1"/>
    <mergeCell ref="A2:C2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AFM SRL</vt:lpstr>
      <vt:lpstr>GEST.FARMAC</vt:lpstr>
      <vt:lpstr>GEST.MICRONIDO</vt:lpstr>
      <vt:lpstr>INVESTIMENTI FARMC</vt:lpstr>
      <vt:lpstr>INVESTIMENTI MICRONIDO</vt:lpstr>
      <vt:lpstr>GEST.FARMAC!Area_stampa</vt:lpstr>
      <vt:lpstr>'INVESTIMENTI FARMC'!Area_stampa</vt:lpstr>
      <vt:lpstr>'INVESTIMENTI MICRONIDO'!Area_stampa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2022-12-21T15:24:35Z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5fe31f-9de1-4167-a753-111c0df8115f_Enabled">
    <vt:lpwstr>true</vt:lpwstr>
  </property>
  <property fmtid="{D5CDD505-2E9C-101B-9397-08002B2CF9AE}" pid="3" name="MSIP_Label_5f5fe31f-9de1-4167-a753-111c0df8115f_SetDate">
    <vt:lpwstr>2021-02-26T11:19:40Z</vt:lpwstr>
  </property>
  <property fmtid="{D5CDD505-2E9C-101B-9397-08002B2CF9AE}" pid="4" name="MSIP_Label_5f5fe31f-9de1-4167-a753-111c0df8115f_Method">
    <vt:lpwstr>Standard</vt:lpwstr>
  </property>
  <property fmtid="{D5CDD505-2E9C-101B-9397-08002B2CF9AE}" pid="5" name="MSIP_Label_5f5fe31f-9de1-4167-a753-111c0df8115f_Name">
    <vt:lpwstr>5f5fe31f-9de1-4167-a753-111c0df8115f</vt:lpwstr>
  </property>
  <property fmtid="{D5CDD505-2E9C-101B-9397-08002B2CF9AE}" pid="6" name="MSIP_Label_5f5fe31f-9de1-4167-a753-111c0df8115f_SiteId">
    <vt:lpwstr>cc4baf00-15c9-48dd-9f59-88c98bde2be7</vt:lpwstr>
  </property>
  <property fmtid="{D5CDD505-2E9C-101B-9397-08002B2CF9AE}" pid="7" name="MSIP_Label_5f5fe31f-9de1-4167-a753-111c0df8115f_ActionId">
    <vt:lpwstr/>
  </property>
  <property fmtid="{D5CDD505-2E9C-101B-9397-08002B2CF9AE}" pid="8" name="MSIP_Label_5f5fe31f-9de1-4167-a753-111c0df8115f_ContentBits">
    <vt:lpwstr>0</vt:lpwstr>
  </property>
</Properties>
</file>