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EF2C652E-F5C2-409D-AB8B-16549B32C3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FM SRL" sheetId="3" r:id="rId1"/>
    <sheet name="GEST.FARMAC" sheetId="1" r:id="rId2"/>
    <sheet name="GEST.MICRONIDO" sheetId="2" r:id="rId3"/>
    <sheet name="INVESTIMENTI FARMAC" sheetId="5" r:id="rId4"/>
    <sheet name="INVESTIMENTI MICRONDO" sheetId="4" r:id="rId5"/>
  </sheets>
  <definedNames>
    <definedName name="_xlnm.Print_Area" localSheetId="0">'AFM SRL'!$A$1:$I$65</definedName>
    <definedName name="_xlnm.Print_Area" localSheetId="1">GEST.FARMAC!$A$1:$I$65</definedName>
    <definedName name="_xlnm.Print_Area" localSheetId="2">GEST.MICRONIDO!$A$1:$D$61</definedName>
    <definedName name="_xlnm.Print_Area" localSheetId="3">'INVESTIMENTI FARMAC'!$A$1:$C$18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3" l="1"/>
  <c r="H19" i="3"/>
  <c r="I19" i="3"/>
  <c r="G6" i="3"/>
  <c r="F6" i="3"/>
  <c r="H6" i="3" s="1"/>
  <c r="G5" i="3"/>
  <c r="F5" i="3"/>
  <c r="G4" i="3"/>
  <c r="F4" i="3"/>
  <c r="C24" i="1"/>
  <c r="F7" i="3" l="1"/>
  <c r="G7" i="3"/>
  <c r="H5" i="3"/>
  <c r="H4" i="3"/>
  <c r="H7" i="3" l="1"/>
  <c r="B17" i="5" l="1"/>
  <c r="B15" i="5"/>
  <c r="B14" i="5"/>
  <c r="B13" i="5"/>
  <c r="B10" i="5"/>
  <c r="B9" i="5"/>
  <c r="B8" i="5"/>
  <c r="B6" i="4" l="1"/>
  <c r="C53" i="1" l="1"/>
  <c r="C40" i="1"/>
  <c r="F19" i="3" l="1"/>
  <c r="C55" i="3" l="1"/>
  <c r="C54" i="3"/>
  <c r="C53" i="3"/>
  <c r="C49" i="3"/>
  <c r="C43" i="3"/>
  <c r="C42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2" i="3"/>
  <c r="C21" i="3"/>
  <c r="C20" i="3"/>
  <c r="C19" i="3"/>
  <c r="C18" i="3"/>
  <c r="C17" i="3"/>
  <c r="C16" i="3"/>
  <c r="C9" i="3"/>
  <c r="C8" i="3"/>
  <c r="C45" i="2"/>
  <c r="C24" i="2"/>
  <c r="C12" i="2"/>
  <c r="C6" i="2"/>
  <c r="C5" i="3"/>
  <c r="C14" i="2" l="1"/>
  <c r="C26" i="2" s="1"/>
  <c r="C47" i="2" s="1"/>
  <c r="C51" i="2" s="1"/>
  <c r="C57" i="2" s="1"/>
  <c r="C59" i="2" s="1"/>
  <c r="C24" i="3"/>
  <c r="F19" i="1"/>
  <c r="D19" i="3"/>
  <c r="C61" i="2" l="1"/>
  <c r="D19" i="1" l="1"/>
  <c r="H4" i="1"/>
  <c r="G7" i="1" l="1"/>
  <c r="C10" i="1" s="1"/>
  <c r="C12" i="1" s="1"/>
  <c r="F7" i="1"/>
  <c r="H6" i="1"/>
  <c r="H5" i="1"/>
  <c r="C6" i="1" l="1"/>
  <c r="C6" i="3" s="1"/>
  <c r="C10" i="3"/>
  <c r="C12" i="3" s="1"/>
  <c r="C4" i="1"/>
  <c r="C4" i="3" s="1"/>
  <c r="D20" i="3" s="1"/>
  <c r="H7" i="1"/>
  <c r="C14" i="3" l="1"/>
  <c r="C41" i="1"/>
  <c r="C14" i="1"/>
  <c r="D14" i="1" s="1"/>
  <c r="C41" i="3"/>
  <c r="C45" i="3" s="1"/>
  <c r="C45" i="1"/>
  <c r="D20" i="1"/>
  <c r="C26" i="3"/>
  <c r="D14" i="3"/>
  <c r="C26" i="1" l="1"/>
  <c r="C47" i="1" s="1"/>
  <c r="C51" i="1" s="1"/>
  <c r="C57" i="1" s="1"/>
  <c r="C47" i="3"/>
  <c r="C51" i="3" s="1"/>
  <c r="C57" i="3" s="1"/>
  <c r="C59" i="1" l="1"/>
  <c r="C59" i="3" s="1"/>
  <c r="C61" i="3" s="1"/>
  <c r="C62" i="3" s="1"/>
  <c r="C61" i="1" l="1"/>
  <c r="C63" i="1"/>
  <c r="C64" i="3"/>
  <c r="C65" i="3"/>
  <c r="C63" i="3"/>
  <c r="C64" i="1" l="1"/>
  <c r="C65" i="1"/>
  <c r="C62" i="1"/>
</calcChain>
</file>

<file path=xl/sharedStrings.xml><?xml version="1.0" encoding="utf-8"?>
<sst xmlns="http://schemas.openxmlformats.org/spreadsheetml/2006/main" count="250" uniqueCount="101">
  <si>
    <t>Descrizione</t>
  </si>
  <si>
    <t>Ricavi lordi</t>
  </si>
  <si>
    <t>Trattenute su vendite al SSN</t>
  </si>
  <si>
    <t>A</t>
  </si>
  <si>
    <t>RICAVI LORDI AL NETTO TRATT SSN</t>
  </si>
  <si>
    <t>Rim. Iniziali</t>
  </si>
  <si>
    <t>Acquisti - resi - rimborsi</t>
  </si>
  <si>
    <t xml:space="preserve"> - Rim. Finali</t>
  </si>
  <si>
    <t>B</t>
  </si>
  <si>
    <t>CONSUMO</t>
  </si>
  <si>
    <t>C = A-B</t>
  </si>
  <si>
    <t>I MARGINE</t>
  </si>
  <si>
    <t>Manut e riparaz.</t>
  </si>
  <si>
    <t>Spese di gestione</t>
  </si>
  <si>
    <t>Costo direttore</t>
  </si>
  <si>
    <t>Costo del personale</t>
  </si>
  <si>
    <t>Spese amm.ve dirette</t>
  </si>
  <si>
    <t>Oneri tributari diretti</t>
  </si>
  <si>
    <t>Recupero affitti Casalbellotto</t>
  </si>
  <si>
    <t>D</t>
  </si>
  <si>
    <t>TOT. COSTI DIRETTI</t>
  </si>
  <si>
    <t>E =C-D</t>
  </si>
  <si>
    <t>MARG. DI CONTRIBUZIONE</t>
  </si>
  <si>
    <t>Oneri access. su acquisti</t>
  </si>
  <si>
    <t>Prestazioni di servizi</t>
  </si>
  <si>
    <t>12a</t>
  </si>
  <si>
    <t>Servizio contabile full-outsourcing</t>
  </si>
  <si>
    <t>Impiegati amministrativi</t>
  </si>
  <si>
    <t>Amm.to beni immateriali</t>
  </si>
  <si>
    <t>Amm.to beni materiali</t>
  </si>
  <si>
    <t>Accantonamenti vari</t>
  </si>
  <si>
    <t>16b</t>
  </si>
  <si>
    <t>Assicurazioni</t>
  </si>
  <si>
    <t>Spese amm.ve sede</t>
  </si>
  <si>
    <t>Costi sistema informatico</t>
  </si>
  <si>
    <t>Spese di vendita</t>
  </si>
  <si>
    <t>Oneri tributari</t>
  </si>
  <si>
    <t>Godimento beni di terzi</t>
  </si>
  <si>
    <t>Canone gestione farmacie</t>
  </si>
  <si>
    <t>F</t>
  </si>
  <si>
    <t>TOT. COSTI INDIRETTI</t>
  </si>
  <si>
    <t>G = E-F</t>
  </si>
  <si>
    <t>RISULTATO OPERATIVO</t>
  </si>
  <si>
    <t>H</t>
  </si>
  <si>
    <t>Oneri/proventi finanziari</t>
  </si>
  <si>
    <t>I = G+H</t>
  </si>
  <si>
    <t>RISULTATO  DI GESTIONE</t>
  </si>
  <si>
    <t>L</t>
  </si>
  <si>
    <t>Sopravv. Passive</t>
  </si>
  <si>
    <t>M</t>
  </si>
  <si>
    <t>Contributi in c.to esercizio</t>
  </si>
  <si>
    <t>N</t>
  </si>
  <si>
    <t>Sopravv. Attive</t>
  </si>
  <si>
    <t>O</t>
  </si>
  <si>
    <t>RISULTATO ANTE IMPOSTE</t>
  </si>
  <si>
    <t>P</t>
  </si>
  <si>
    <t>IRES/IRAP dell'esercizio</t>
  </si>
  <si>
    <t>Q =O-P</t>
  </si>
  <si>
    <t>RISULTATO D'ESERCIZIO</t>
  </si>
  <si>
    <t>COSTO PERSONALE - INCIDENZA SUL FATTURATO</t>
  </si>
  <si>
    <t>RISULTATO D'ESERCIZIO al lordo del canone di gestione farmaceutico</t>
  </si>
  <si>
    <t>CASH FLOW</t>
  </si>
  <si>
    <t>EBIT</t>
  </si>
  <si>
    <t>EBITDA</t>
  </si>
  <si>
    <t>Fatturato</t>
  </si>
  <si>
    <t>Magazzino</t>
  </si>
  <si>
    <t>Costi sanificazine DPI</t>
  </si>
  <si>
    <t>Altri oneri di gestione</t>
  </si>
  <si>
    <t>F1</t>
  </si>
  <si>
    <t>%</t>
  </si>
  <si>
    <t>F3</t>
  </si>
  <si>
    <t>F2</t>
  </si>
  <si>
    <t>TOT</t>
  </si>
  <si>
    <t>MARGINALITA' COMMERCIALE</t>
  </si>
  <si>
    <t>GESTIONE FARMACEUTICA</t>
  </si>
  <si>
    <t>GESTIONE MICRONIDO</t>
  </si>
  <si>
    <t>AZIENDA FARMACEUTICA MUNICIPALE SRL</t>
  </si>
  <si>
    <t>N. DIPENDENTI TOT. 2022</t>
  </si>
  <si>
    <t>ENTRATE</t>
  </si>
  <si>
    <t>USCITE</t>
  </si>
  <si>
    <t>PIANO PREVISIONALE 2023</t>
  </si>
  <si>
    <t>FORECAST 2023</t>
  </si>
  <si>
    <t>Importo</t>
  </si>
  <si>
    <t>TOTALE</t>
  </si>
  <si>
    <t>PIANO PREVISIONALE INVESTIMENTI 2023</t>
  </si>
  <si>
    <t>N. DIPENDENTI TOT. 2023</t>
  </si>
  <si>
    <t>Accantonamenti/Svalutazioni vari</t>
  </si>
  <si>
    <t>Sostituzione impianto condizionamento/pompa di calore e sistemazione impianto idraulico</t>
  </si>
  <si>
    <t>F2 -Magazzino automatizzato + 2 go visual + 3 anni garanzia full</t>
  </si>
  <si>
    <t>F2 - Pharmashop24 + loker</t>
  </si>
  <si>
    <t>F1 - Restauro soffitto+pavimento</t>
  </si>
  <si>
    <t>F2 - Farmacash</t>
  </si>
  <si>
    <t>F2 - galenico (macchinari attrezzature)</t>
  </si>
  <si>
    <t>F2 - Arredi + porte interne</t>
  </si>
  <si>
    <t>F2 - Opere murarie in cartongesso</t>
  </si>
  <si>
    <t>F2 - Finalizzazione impianto idraulico</t>
  </si>
  <si>
    <t>F2 - Finalizzazione impianto elettrico</t>
  </si>
  <si>
    <t>F2 - Farmascreen+frigorifero piccolo, poltrona estetica, data loger</t>
  </si>
  <si>
    <t>F2 - Spese da coprire per anticipazione della proprietà (allacci acqua e luce)</t>
  </si>
  <si>
    <t>F2 - Insegne+passafarmaco+citofono+videosorveglianza, allarme, porta automatica</t>
  </si>
  <si>
    <t>Sostituzione vetrate ingresso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</si>
</sst>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0.0%"/>
    <numFmt numFmtId="166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5">
    <xf numFmtId="0" fontId="0" fillId="0" borderId="0" xfId="0"/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9" xfId="0" applyBorder="1"/>
    <xf numFmtId="0" fontId="2" fillId="0" borderId="7" xfId="0" applyFont="1" applyBorder="1"/>
    <xf numFmtId="43" fontId="2" fillId="0" borderId="0" xfId="1" applyFont="1" applyBorder="1"/>
    <xf numFmtId="0" fontId="2" fillId="2" borderId="7" xfId="0" applyFont="1" applyFill="1" applyBorder="1"/>
    <xf numFmtId="165" fontId="1" fillId="0" borderId="10" xfId="2" applyNumberFormat="1" applyFont="1" applyBorder="1"/>
    <xf numFmtId="43" fontId="1" fillId="0" borderId="0" xfId="1" applyFont="1" applyBorder="1"/>
    <xf numFmtId="43" fontId="1" fillId="0" borderId="11" xfId="1" applyFont="1" applyBorder="1"/>
    <xf numFmtId="43" fontId="1" fillId="0" borderId="12" xfId="1" applyFont="1" applyBorder="1"/>
    <xf numFmtId="0" fontId="0" fillId="0" borderId="3" xfId="0" applyBorder="1" applyAlignment="1">
      <alignment horizontal="center"/>
    </xf>
    <xf numFmtId="43" fontId="1" fillId="0" borderId="3" xfId="1" applyFont="1" applyBorder="1"/>
    <xf numFmtId="43" fontId="0" fillId="0" borderId="0" xfId="1" applyFont="1" applyBorder="1"/>
    <xf numFmtId="9" fontId="2" fillId="0" borderId="3" xfId="2" applyFont="1" applyBorder="1"/>
    <xf numFmtId="0" fontId="0" fillId="0" borderId="4" xfId="0" applyBorder="1" applyAlignment="1">
      <alignment horizontal="right"/>
    </xf>
    <xf numFmtId="43" fontId="0" fillId="0" borderId="0" xfId="1" applyFont="1"/>
    <xf numFmtId="164" fontId="0" fillId="0" borderId="0" xfId="0" applyNumberFormat="1"/>
    <xf numFmtId="0" fontId="3" fillId="0" borderId="0" xfId="0" applyFont="1" applyAlignment="1">
      <alignment horizontal="center" vertical="top"/>
    </xf>
    <xf numFmtId="0" fontId="0" fillId="0" borderId="0" xfId="0" applyFill="1" applyBorder="1"/>
    <xf numFmtId="0" fontId="3" fillId="0" borderId="0" xfId="0" applyFont="1" applyBorder="1" applyAlignment="1">
      <alignment horizontal="center" vertical="top"/>
    </xf>
    <xf numFmtId="43" fontId="1" fillId="0" borderId="0" xfId="1" applyFont="1" applyFill="1" applyBorder="1"/>
    <xf numFmtId="43" fontId="2" fillId="0" borderId="0" xfId="1" applyFont="1" applyFill="1" applyBorder="1"/>
    <xf numFmtId="9" fontId="2" fillId="0" borderId="0" xfId="2" applyFont="1" applyFill="1" applyBorder="1"/>
    <xf numFmtId="43" fontId="2" fillId="2" borderId="3" xfId="1" applyFont="1" applyFill="1" applyBorder="1"/>
    <xf numFmtId="43" fontId="2" fillId="0" borderId="3" xfId="1" applyFont="1" applyBorder="1"/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43" fontId="3" fillId="0" borderId="0" xfId="1" applyFont="1" applyAlignment="1">
      <alignment vertical="top"/>
    </xf>
    <xf numFmtId="43" fontId="3" fillId="0" borderId="0" xfId="1" applyFont="1" applyBorder="1" applyAlignment="1">
      <alignment vertical="top"/>
    </xf>
    <xf numFmtId="0" fontId="0" fillId="0" borderId="1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0" fillId="0" borderId="0" xfId="0" applyFill="1"/>
    <xf numFmtId="0" fontId="2" fillId="0" borderId="1" xfId="0" applyFont="1" applyBorder="1"/>
    <xf numFmtId="4" fontId="2" fillId="0" borderId="7" xfId="0" applyNumberFormat="1" applyFont="1" applyBorder="1" applyAlignment="1">
      <alignment horizontal="center"/>
    </xf>
    <xf numFmtId="4" fontId="2" fillId="0" borderId="1" xfId="0" applyNumberFormat="1" applyFont="1" applyBorder="1"/>
    <xf numFmtId="43" fontId="1" fillId="0" borderId="12" xfId="1" applyFont="1" applyFill="1" applyBorder="1"/>
    <xf numFmtId="43" fontId="0" fillId="0" borderId="0" xfId="1" applyFont="1" applyFill="1" applyBorder="1"/>
    <xf numFmtId="0" fontId="3" fillId="0" borderId="0" xfId="0" applyFont="1" applyAlignment="1">
      <alignment horizontal="center" vertical="top"/>
    </xf>
    <xf numFmtId="0" fontId="2" fillId="0" borderId="0" xfId="0" applyFont="1" applyBorder="1"/>
    <xf numFmtId="43" fontId="0" fillId="0" borderId="0" xfId="0" applyNumberFormat="1" applyBorder="1"/>
    <xf numFmtId="164" fontId="0" fillId="0" borderId="0" xfId="0" applyNumberFormat="1" applyBorder="1"/>
    <xf numFmtId="43" fontId="0" fillId="0" borderId="12" xfId="0" applyNumberFormat="1" applyBorder="1"/>
    <xf numFmtId="43" fontId="1" fillId="0" borderId="13" xfId="1" applyFont="1" applyBorder="1"/>
    <xf numFmtId="0" fontId="2" fillId="0" borderId="7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2" fillId="0" borderId="4" xfId="0" applyFont="1" applyBorder="1" applyAlignment="1">
      <alignment horizontal="center" wrapText="1"/>
    </xf>
    <xf numFmtId="9" fontId="0" fillId="0" borderId="12" xfId="2" applyFont="1" applyBorder="1"/>
    <xf numFmtId="0" fontId="2" fillId="0" borderId="3" xfId="0" applyFont="1" applyFill="1" applyBorder="1" applyAlignment="1">
      <alignment horizontal="center"/>
    </xf>
    <xf numFmtId="43" fontId="0" fillId="0" borderId="12" xfId="1" applyFont="1" applyBorder="1"/>
    <xf numFmtId="43" fontId="2" fillId="0" borderId="3" xfId="0" applyNumberFormat="1" applyFont="1" applyBorder="1"/>
    <xf numFmtId="0" fontId="0" fillId="0" borderId="8" xfId="0" applyBorder="1"/>
    <xf numFmtId="0" fontId="2" fillId="0" borderId="0" xfId="0" applyFont="1" applyBorder="1" applyAlignment="1"/>
    <xf numFmtId="165" fontId="1" fillId="0" borderId="0" xfId="2" applyNumberFormat="1" applyFont="1" applyBorder="1"/>
    <xf numFmtId="0" fontId="2" fillId="0" borderId="2" xfId="0" applyFont="1" applyBorder="1" applyAlignment="1"/>
    <xf numFmtId="0" fontId="2" fillId="0" borderId="0" xfId="0" applyFont="1" applyBorder="1" applyAlignment="1">
      <alignment wrapText="1"/>
    </xf>
    <xf numFmtId="165" fontId="1" fillId="0" borderId="0" xfId="2" applyNumberFormat="1" applyFont="1" applyFill="1" applyBorder="1"/>
    <xf numFmtId="9" fontId="1" fillId="0" borderId="0" xfId="2" applyFont="1" applyBorder="1"/>
    <xf numFmtId="165" fontId="0" fillId="0" borderId="0" xfId="2" applyNumberFormat="1" applyFont="1" applyBorder="1"/>
    <xf numFmtId="165" fontId="1" fillId="0" borderId="13" xfId="2" applyNumberFormat="1" applyFont="1" applyFill="1" applyBorder="1"/>
    <xf numFmtId="0" fontId="2" fillId="0" borderId="3" xfId="0" applyFont="1" applyBorder="1" applyAlignment="1">
      <alignment horizontal="center" wrapText="1"/>
    </xf>
    <xf numFmtId="43" fontId="1" fillId="0" borderId="3" xfId="1" applyFont="1" applyFill="1" applyBorder="1"/>
    <xf numFmtId="0" fontId="0" fillId="0" borderId="4" xfId="0" applyBorder="1" applyAlignment="1">
      <alignment horizontal="center" vertical="center"/>
    </xf>
    <xf numFmtId="3" fontId="0" fillId="0" borderId="12" xfId="0" applyNumberFormat="1" applyBorder="1"/>
    <xf numFmtId="3" fontId="0" fillId="0" borderId="3" xfId="0" applyNumberFormat="1" applyBorder="1"/>
    <xf numFmtId="3" fontId="0" fillId="0" borderId="13" xfId="0" applyNumberFormat="1" applyBorder="1"/>
    <xf numFmtId="3" fontId="0" fillId="0" borderId="12" xfId="0" applyNumberFormat="1" applyFill="1" applyBorder="1"/>
    <xf numFmtId="3" fontId="2" fillId="0" borderId="3" xfId="0" applyNumberFormat="1" applyFont="1" applyBorder="1"/>
    <xf numFmtId="0" fontId="0" fillId="0" borderId="5" xfId="0" applyBorder="1" applyAlignment="1">
      <alignment horizontal="center"/>
    </xf>
    <xf numFmtId="0" fontId="2" fillId="0" borderId="0" xfId="0" applyFont="1" applyFill="1" applyBorder="1"/>
    <xf numFmtId="0" fontId="0" fillId="0" borderId="0" xfId="0" applyBorder="1" applyAlignment="1">
      <alignment vertical="center"/>
    </xf>
    <xf numFmtId="43" fontId="1" fillId="0" borderId="12" xfId="1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2" fontId="1" fillId="0" borderId="0" xfId="1" applyNumberFormat="1" applyFont="1" applyBorder="1"/>
    <xf numFmtId="2" fontId="0" fillId="0" borderId="0" xfId="2" applyNumberFormat="1" applyFont="1" applyBorder="1"/>
    <xf numFmtId="1" fontId="1" fillId="0" borderId="0" xfId="1" applyNumberFormat="1" applyFont="1" applyBorder="1"/>
    <xf numFmtId="166" fontId="1" fillId="0" borderId="0" xfId="2" applyNumberFormat="1" applyFont="1" applyBorder="1"/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2" fontId="1" fillId="0" borderId="3" xfId="1" applyNumberFormat="1" applyFont="1" applyBorder="1"/>
    <xf numFmtId="2" fontId="0" fillId="0" borderId="3" xfId="1" applyNumberFormat="1" applyFont="1" applyBorder="1"/>
    <xf numFmtId="0" fontId="2" fillId="0" borderId="7" xfId="0" applyFont="1" applyBorder="1" applyAlignment="1">
      <alignment horizontal="center"/>
    </xf>
    <xf numFmtId="0" fontId="0" fillId="0" borderId="3" xfId="0" applyBorder="1"/>
    <xf numFmtId="0" fontId="2" fillId="0" borderId="3" xfId="0" applyFont="1" applyBorder="1" applyAlignment="1">
      <alignment horizontal="right"/>
    </xf>
    <xf numFmtId="0" fontId="0" fillId="0" borderId="7" xfId="0" applyFont="1" applyBorder="1" applyAlignment="1">
      <alignment horizontal="left"/>
    </xf>
    <xf numFmtId="0" fontId="3" fillId="0" borderId="7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2" fillId="0" borderId="7" xfId="0" applyFont="1" applyBorder="1" applyAlignment="1">
      <alignment horizontal="center"/>
    </xf>
    <xf numFmtId="43" fontId="0" fillId="0" borderId="3" xfId="1" applyFont="1" applyBorder="1" applyAlignment="1">
      <alignment horizontal="center"/>
    </xf>
    <xf numFmtId="0" fontId="0" fillId="0" borderId="0" xfId="0" applyAlignment="1">
      <alignment vertical="center"/>
    </xf>
    <xf numFmtId="0" fontId="2" fillId="0" borderId="7" xfId="0" applyFont="1" applyBorder="1" applyAlignment="1">
      <alignment horizontal="right"/>
    </xf>
    <xf numFmtId="164" fontId="2" fillId="0" borderId="3" xfId="0" applyNumberFormat="1" applyFont="1" applyBorder="1" applyAlignment="1">
      <alignment horizontal="center"/>
    </xf>
    <xf numFmtId="0" fontId="0" fillId="0" borderId="7" xfId="0" applyBorder="1" applyAlignment="1">
      <alignment horizontal="left"/>
    </xf>
    <xf numFmtId="0" fontId="3" fillId="0" borderId="0" xfId="0" applyFont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43" fontId="0" fillId="0" borderId="7" xfId="1" applyFont="1" applyFill="1" applyBorder="1" applyAlignment="1">
      <alignment horizontal="center"/>
    </xf>
    <xf numFmtId="43" fontId="0" fillId="0" borderId="2" xfId="1" applyFont="1" applyFill="1" applyBorder="1" applyAlignment="1">
      <alignment horizontal="center"/>
    </xf>
    <xf numFmtId="43" fontId="2" fillId="0" borderId="7" xfId="1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3" fontId="0" fillId="0" borderId="3" xfId="1" applyFont="1" applyBorder="1" applyAlignment="1">
      <alignment horizontal="center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65"/>
  <sheetViews>
    <sheetView tabSelected="1" workbookViewId="0">
      <selection activeCell="D61" sqref="D61"/>
    </sheetView>
  </sheetViews>
  <sheetFormatPr defaultRowHeight="14.4" x14ac:dyDescent="0.3"/>
  <cols>
    <col min="1" max="1" width="7.109375" bestFit="1" customWidth="1"/>
    <col min="2" max="2" width="63.33203125" bestFit="1" customWidth="1"/>
    <col min="3" max="3" width="14.5546875" bestFit="1" customWidth="1"/>
    <col min="4" max="4" width="28.5546875" bestFit="1" customWidth="1"/>
    <col min="5" max="5" width="5" bestFit="1" customWidth="1"/>
    <col min="6" max="6" width="14.33203125" bestFit="1" customWidth="1"/>
    <col min="7" max="7" width="11.5546875" bestFit="1" customWidth="1"/>
    <col min="8" max="8" width="7" bestFit="1" customWidth="1"/>
    <col min="9" max="9" width="14.33203125" bestFit="1" customWidth="1"/>
    <col min="10" max="10" width="12.77734375" bestFit="1" customWidth="1"/>
  </cols>
  <sheetData>
    <row r="1" spans="1:10" ht="28.8" x14ac:dyDescent="0.3">
      <c r="A1" s="103" t="s">
        <v>76</v>
      </c>
      <c r="B1" s="103"/>
      <c r="C1" s="103"/>
      <c r="D1" s="54"/>
      <c r="E1" s="39"/>
      <c r="F1" s="54"/>
      <c r="G1" s="7"/>
      <c r="H1" s="7"/>
    </row>
    <row r="2" spans="1:10" ht="28.8" x14ac:dyDescent="0.3">
      <c r="A2" s="104" t="s">
        <v>80</v>
      </c>
      <c r="B2" s="104"/>
      <c r="C2" s="104"/>
      <c r="D2" s="27"/>
      <c r="E2" s="40"/>
      <c r="F2" s="27"/>
      <c r="G2" s="8"/>
      <c r="H2" s="8"/>
    </row>
    <row r="3" spans="1:10" x14ac:dyDescent="0.3">
      <c r="A3" s="1"/>
      <c r="B3" s="53" t="s">
        <v>0</v>
      </c>
      <c r="C3" s="1" t="s">
        <v>81</v>
      </c>
      <c r="D3" s="33"/>
      <c r="E3" s="97">
        <v>2023</v>
      </c>
      <c r="F3" s="57" t="s">
        <v>64</v>
      </c>
      <c r="G3" s="1" t="s">
        <v>65</v>
      </c>
      <c r="H3" s="1" t="s">
        <v>69</v>
      </c>
    </row>
    <row r="4" spans="1:10" x14ac:dyDescent="0.3">
      <c r="A4" s="2"/>
      <c r="B4" s="3" t="s">
        <v>1</v>
      </c>
      <c r="C4" s="16">
        <f>GEST.FARMAC!C4+GEST.MICRONIDO!C4</f>
        <v>3654000</v>
      </c>
      <c r="D4" s="15"/>
      <c r="E4" s="22" t="s">
        <v>68</v>
      </c>
      <c r="F4" s="58">
        <f>GEST.FARMAC!F4</f>
        <v>1450000</v>
      </c>
      <c r="G4" s="51">
        <f>GEST.FARMAC!G4</f>
        <v>230000</v>
      </c>
      <c r="H4" s="56">
        <f>G4/F4</f>
        <v>0.15862068965517243</v>
      </c>
    </row>
    <row r="5" spans="1:10" x14ac:dyDescent="0.3">
      <c r="A5" s="2"/>
      <c r="B5" s="3" t="s">
        <v>2</v>
      </c>
      <c r="C5" s="17">
        <f>GEST.FARMAC!C5+GEST.MICRONIDO!C5</f>
        <v>-46000</v>
      </c>
      <c r="D5" s="15"/>
      <c r="E5" s="22" t="s">
        <v>71</v>
      </c>
      <c r="F5" s="58">
        <f>GEST.FARMAC!F5</f>
        <v>1150000</v>
      </c>
      <c r="G5" s="51">
        <f>GEST.FARMAC!G5</f>
        <v>130000</v>
      </c>
      <c r="H5" s="56">
        <f>G5/F5</f>
        <v>0.11304347826086956</v>
      </c>
      <c r="J5" s="24"/>
    </row>
    <row r="6" spans="1:10" x14ac:dyDescent="0.3">
      <c r="A6" s="53" t="s">
        <v>3</v>
      </c>
      <c r="B6" s="42" t="s">
        <v>4</v>
      </c>
      <c r="C6" s="32">
        <f>GEST.FARMAC!C6</f>
        <v>3608000</v>
      </c>
      <c r="D6" s="12"/>
      <c r="E6" s="22" t="s">
        <v>70</v>
      </c>
      <c r="F6" s="58">
        <f>GEST.FARMAC!F6</f>
        <v>998000</v>
      </c>
      <c r="G6" s="51">
        <f>GEST.FARMAC!G6</f>
        <v>100000</v>
      </c>
      <c r="H6" s="56">
        <f>G6/F6</f>
        <v>0.10020040080160321</v>
      </c>
    </row>
    <row r="7" spans="1:10" x14ac:dyDescent="0.3">
      <c r="A7" s="37"/>
      <c r="B7" s="4"/>
      <c r="C7" s="18"/>
      <c r="D7" s="34"/>
      <c r="E7" s="11" t="s">
        <v>72</v>
      </c>
      <c r="F7" s="32">
        <f>F4+F5+F6</f>
        <v>3598000</v>
      </c>
      <c r="G7" s="59">
        <f>G4+G5+G6</f>
        <v>460000</v>
      </c>
      <c r="H7" s="21">
        <f>G7/F7</f>
        <v>0.12784880489160644</v>
      </c>
    </row>
    <row r="8" spans="1:10" x14ac:dyDescent="0.3">
      <c r="A8" s="2">
        <v>1</v>
      </c>
      <c r="B8" s="3" t="s">
        <v>5</v>
      </c>
      <c r="C8" s="16">
        <f>GEST.FARMAC!C8+GEST.MICRONIDO!C8</f>
        <v>423000</v>
      </c>
      <c r="D8" s="15"/>
      <c r="E8" s="28"/>
      <c r="F8" s="15"/>
    </row>
    <row r="9" spans="1:10" x14ac:dyDescent="0.3">
      <c r="A9" s="2">
        <v>2</v>
      </c>
      <c r="B9" s="3" t="s">
        <v>6</v>
      </c>
      <c r="C9" s="17">
        <f>GEST.FARMAC!C9+GEST.MICRONIDO!C9</f>
        <v>2100000</v>
      </c>
      <c r="D9" s="15"/>
      <c r="E9" s="28"/>
      <c r="F9" s="15"/>
    </row>
    <row r="10" spans="1:10" x14ac:dyDescent="0.3">
      <c r="A10" s="2">
        <v>3</v>
      </c>
      <c r="B10" s="3" t="s">
        <v>7</v>
      </c>
      <c r="C10" s="17">
        <f>GEST.FARMAC!C10+GEST.MICRONIDO!C10</f>
        <v>-460000</v>
      </c>
      <c r="D10" s="15"/>
      <c r="E10" s="28"/>
      <c r="F10" s="15"/>
    </row>
    <row r="11" spans="1:10" x14ac:dyDescent="0.3">
      <c r="A11" s="2"/>
      <c r="B11" s="3"/>
      <c r="C11" s="17"/>
      <c r="D11" s="15"/>
      <c r="E11" s="28"/>
      <c r="F11" s="15"/>
    </row>
    <row r="12" spans="1:10" x14ac:dyDescent="0.3">
      <c r="A12" s="43" t="s">
        <v>8</v>
      </c>
      <c r="B12" s="44" t="s">
        <v>9</v>
      </c>
      <c r="C12" s="32">
        <f>C8+C9+C10</f>
        <v>2063000</v>
      </c>
      <c r="D12" s="15"/>
      <c r="E12" s="61"/>
      <c r="F12" s="61"/>
      <c r="G12" s="61"/>
      <c r="H12" s="61"/>
    </row>
    <row r="13" spans="1:10" x14ac:dyDescent="0.3">
      <c r="A13" s="2"/>
      <c r="B13" s="3"/>
      <c r="C13" s="19"/>
      <c r="D13" s="63" t="s">
        <v>73</v>
      </c>
      <c r="E13" s="3"/>
      <c r="F13" s="3"/>
      <c r="G13" s="3"/>
      <c r="H13" s="3"/>
    </row>
    <row r="14" spans="1:10" x14ac:dyDescent="0.3">
      <c r="A14" s="43" t="s">
        <v>10</v>
      </c>
      <c r="B14" s="44" t="s">
        <v>11</v>
      </c>
      <c r="C14" s="32">
        <f>C6-C12</f>
        <v>1545000</v>
      </c>
      <c r="D14" s="14">
        <f>C14/C4</f>
        <v>0.42282430213464695</v>
      </c>
      <c r="E14" s="62"/>
      <c r="F14" s="62"/>
      <c r="G14" s="62"/>
      <c r="H14" s="62"/>
    </row>
    <row r="15" spans="1:10" x14ac:dyDescent="0.3">
      <c r="A15" s="6"/>
      <c r="B15" s="4"/>
      <c r="C15" s="19"/>
      <c r="D15" s="15"/>
      <c r="E15" s="28"/>
      <c r="F15" s="15"/>
      <c r="G15" s="3"/>
      <c r="H15" s="3"/>
    </row>
    <row r="16" spans="1:10" x14ac:dyDescent="0.3">
      <c r="A16" s="71">
        <v>4</v>
      </c>
      <c r="B16" s="3" t="s">
        <v>12</v>
      </c>
      <c r="C16" s="16">
        <f>GEST.FARMAC!C16+GEST.MICRONIDO!C16</f>
        <v>9000</v>
      </c>
      <c r="D16" s="15"/>
      <c r="E16" s="28"/>
      <c r="F16" s="15"/>
    </row>
    <row r="17" spans="1:9" x14ac:dyDescent="0.3">
      <c r="A17" s="71">
        <v>5</v>
      </c>
      <c r="B17" s="3" t="s">
        <v>13</v>
      </c>
      <c r="C17" s="17">
        <f>GEST.FARMAC!C17+GEST.MICRONIDO!C17</f>
        <v>40000</v>
      </c>
      <c r="D17" s="55"/>
      <c r="E17" s="64"/>
      <c r="F17" s="64"/>
      <c r="G17" s="64"/>
      <c r="H17" s="64"/>
    </row>
    <row r="18" spans="1:9" ht="36" customHeight="1" x14ac:dyDescent="0.3">
      <c r="A18" s="71">
        <v>6</v>
      </c>
      <c r="B18" s="79" t="s">
        <v>14</v>
      </c>
      <c r="C18" s="80">
        <f>GEST.FARMAC!C18+GEST.MICRONIDO!C18</f>
        <v>182000</v>
      </c>
      <c r="D18" s="81" t="s">
        <v>59</v>
      </c>
      <c r="E18" s="3"/>
      <c r="F18" s="86" t="s">
        <v>85</v>
      </c>
      <c r="G18" s="87" t="s">
        <v>78</v>
      </c>
      <c r="H18" s="88" t="s">
        <v>79</v>
      </c>
      <c r="I18" s="86" t="s">
        <v>77</v>
      </c>
    </row>
    <row r="19" spans="1:9" x14ac:dyDescent="0.3">
      <c r="A19" s="71">
        <v>7</v>
      </c>
      <c r="B19" s="3" t="s">
        <v>15</v>
      </c>
      <c r="C19" s="45">
        <f>GEST.FARMAC!C19+GEST.MICRONIDO!C19</f>
        <v>430000</v>
      </c>
      <c r="D19" s="70">
        <f>C18+C19</f>
        <v>612000</v>
      </c>
      <c r="E19" s="28"/>
      <c r="F19" s="89">
        <f>I19-H19+G19</f>
        <v>15</v>
      </c>
      <c r="G19" s="90">
        <f>GEST.FARMAC!G19</f>
        <v>2</v>
      </c>
      <c r="H19" s="89">
        <f>GEST.FARMAC!H19</f>
        <v>1</v>
      </c>
      <c r="I19" s="89">
        <f>GEST.FARMAC!I19</f>
        <v>14</v>
      </c>
    </row>
    <row r="20" spans="1:9" x14ac:dyDescent="0.3">
      <c r="A20" s="71">
        <v>8</v>
      </c>
      <c r="B20" s="3" t="s">
        <v>16</v>
      </c>
      <c r="C20" s="45">
        <f>GEST.FARMAC!C20+GEST.MICRONIDO!C20</f>
        <v>5300</v>
      </c>
      <c r="D20" s="68">
        <f>D19/C4</f>
        <v>0.16748768472906403</v>
      </c>
      <c r="E20" s="65"/>
      <c r="F20" s="66"/>
      <c r="G20" s="67"/>
      <c r="H20" s="62"/>
    </row>
    <row r="21" spans="1:9" x14ac:dyDescent="0.3">
      <c r="A21" s="71">
        <v>9</v>
      </c>
      <c r="B21" s="3" t="s">
        <v>17</v>
      </c>
      <c r="C21" s="17">
        <f>GEST.FARMAC!C21+GEST.MICRONIDO!C21</f>
        <v>0</v>
      </c>
      <c r="D21" s="15"/>
      <c r="E21" s="28"/>
      <c r="F21" s="15"/>
      <c r="G21" s="3"/>
      <c r="H21" s="3"/>
    </row>
    <row r="22" spans="1:9" x14ac:dyDescent="0.3">
      <c r="A22" s="71">
        <v>10</v>
      </c>
      <c r="B22" s="3" t="s">
        <v>18</v>
      </c>
      <c r="C22" s="17">
        <f>GEST.FARMAC!C22+GEST.MICRONIDO!C22</f>
        <v>-3500</v>
      </c>
      <c r="D22" s="15"/>
      <c r="E22" s="28"/>
      <c r="F22" s="15"/>
      <c r="H22" s="23"/>
    </row>
    <row r="23" spans="1:9" x14ac:dyDescent="0.3">
      <c r="A23" s="2"/>
      <c r="B23" s="3"/>
      <c r="C23" s="52"/>
      <c r="D23" s="15"/>
      <c r="E23" s="28"/>
      <c r="F23" s="15"/>
      <c r="H23" s="23"/>
    </row>
    <row r="24" spans="1:9" x14ac:dyDescent="0.3">
      <c r="A24" s="43" t="s">
        <v>19</v>
      </c>
      <c r="B24" s="44" t="s">
        <v>20</v>
      </c>
      <c r="C24" s="32">
        <f>SUM(C16:C22)</f>
        <v>662800</v>
      </c>
      <c r="D24" s="12"/>
      <c r="E24" s="29"/>
      <c r="F24" s="12"/>
    </row>
    <row r="25" spans="1:9" x14ac:dyDescent="0.3">
      <c r="A25" s="2"/>
      <c r="B25" s="3"/>
      <c r="C25" s="17"/>
      <c r="D25" s="15"/>
      <c r="E25" s="28"/>
      <c r="F25" s="28"/>
    </row>
    <row r="26" spans="1:9" x14ac:dyDescent="0.3">
      <c r="A26" s="43" t="s">
        <v>21</v>
      </c>
      <c r="B26" s="44" t="s">
        <v>22</v>
      </c>
      <c r="C26" s="32">
        <f>C14-C24</f>
        <v>882200</v>
      </c>
      <c r="D26" s="12"/>
      <c r="E26" s="29"/>
      <c r="F26" s="29"/>
    </row>
    <row r="27" spans="1:9" x14ac:dyDescent="0.3">
      <c r="A27" s="6"/>
      <c r="B27" s="4"/>
      <c r="C27" s="19"/>
      <c r="D27" s="15"/>
      <c r="E27" s="28"/>
      <c r="F27" s="28"/>
    </row>
    <row r="28" spans="1:9" x14ac:dyDescent="0.3">
      <c r="A28" s="2">
        <v>11</v>
      </c>
      <c r="B28" s="3" t="s">
        <v>23</v>
      </c>
      <c r="C28" s="16">
        <f>GEST.FARMAC!C28+GEST.MICRONIDO!C28</f>
        <v>0</v>
      </c>
      <c r="D28" s="15"/>
      <c r="E28" s="28"/>
      <c r="F28" s="28"/>
    </row>
    <row r="29" spans="1:9" x14ac:dyDescent="0.3">
      <c r="A29" s="2">
        <v>12</v>
      </c>
      <c r="B29" s="3" t="s">
        <v>24</v>
      </c>
      <c r="C29" s="45">
        <f>GEST.FARMAC!C29+GEST.MICRONIDO!C29</f>
        <v>96800</v>
      </c>
      <c r="D29" s="28"/>
      <c r="E29" s="28"/>
      <c r="F29" s="28"/>
    </row>
    <row r="30" spans="1:9" x14ac:dyDescent="0.3">
      <c r="A30" s="2" t="s">
        <v>25</v>
      </c>
      <c r="B30" s="3" t="s">
        <v>26</v>
      </c>
      <c r="C30" s="17">
        <f>GEST.FARMAC!C30+GEST.MICRONIDO!C30</f>
        <v>40500</v>
      </c>
      <c r="D30" s="15"/>
      <c r="E30" s="28"/>
      <c r="F30" s="28"/>
    </row>
    <row r="31" spans="1:9" x14ac:dyDescent="0.3">
      <c r="A31" s="2">
        <v>13</v>
      </c>
      <c r="B31" s="3" t="s">
        <v>27</v>
      </c>
      <c r="C31" s="17">
        <f>GEST.FARMAC!C31+GEST.MICRONIDO!C31</f>
        <v>0</v>
      </c>
      <c r="D31" s="15"/>
      <c r="E31" s="28"/>
      <c r="F31" s="28"/>
    </row>
    <row r="32" spans="1:9" x14ac:dyDescent="0.3">
      <c r="A32" s="2">
        <v>14</v>
      </c>
      <c r="B32" s="3" t="s">
        <v>28</v>
      </c>
      <c r="C32" s="17">
        <f>GEST.FARMAC!C32+GEST.MICRONIDO!C32</f>
        <v>5800</v>
      </c>
      <c r="D32" s="15"/>
      <c r="E32" s="28"/>
      <c r="F32" s="28"/>
    </row>
    <row r="33" spans="1:7" x14ac:dyDescent="0.3">
      <c r="A33" s="2">
        <v>15</v>
      </c>
      <c r="B33" s="3" t="s">
        <v>29</v>
      </c>
      <c r="C33" s="17">
        <f>GEST.FARMAC!C33+GEST.MICRONIDO!C33</f>
        <v>126000</v>
      </c>
      <c r="D33" s="15"/>
      <c r="E33" s="28"/>
      <c r="F33" s="28"/>
    </row>
    <row r="34" spans="1:7" x14ac:dyDescent="0.3">
      <c r="A34" s="2">
        <v>16</v>
      </c>
      <c r="B34" s="3" t="s">
        <v>86</v>
      </c>
      <c r="C34" s="45">
        <f>GEST.FARMAC!C34+GEST.MICRONIDO!C34</f>
        <v>170000</v>
      </c>
      <c r="D34" s="15"/>
      <c r="E34" s="28"/>
      <c r="F34" s="28"/>
    </row>
    <row r="35" spans="1:7" x14ac:dyDescent="0.3">
      <c r="A35" s="2" t="s">
        <v>31</v>
      </c>
      <c r="B35" s="3" t="s">
        <v>32</v>
      </c>
      <c r="C35" s="45">
        <f>GEST.FARMAC!C35+GEST.MICRONIDO!C35</f>
        <v>8800</v>
      </c>
      <c r="D35" s="28"/>
      <c r="E35" s="28"/>
      <c r="F35" s="28"/>
      <c r="G35" s="24"/>
    </row>
    <row r="36" spans="1:7" x14ac:dyDescent="0.3">
      <c r="A36" s="2">
        <v>17</v>
      </c>
      <c r="B36" s="3" t="s">
        <v>33</v>
      </c>
      <c r="C36" s="45">
        <f>GEST.FARMAC!C36+GEST.MICRONIDO!C36</f>
        <v>3600</v>
      </c>
      <c r="D36" s="28"/>
      <c r="E36" s="28"/>
      <c r="F36" s="28"/>
    </row>
    <row r="37" spans="1:7" x14ac:dyDescent="0.3">
      <c r="A37" s="2">
        <v>18</v>
      </c>
      <c r="B37" s="3" t="s">
        <v>34</v>
      </c>
      <c r="C37" s="17">
        <f>GEST.FARMAC!C37+GEST.MICRONIDO!C37</f>
        <v>16000</v>
      </c>
      <c r="D37" s="15"/>
      <c r="E37" s="28"/>
      <c r="F37" s="28"/>
    </row>
    <row r="38" spans="1:7" x14ac:dyDescent="0.3">
      <c r="A38" s="2">
        <v>19</v>
      </c>
      <c r="B38" s="3" t="s">
        <v>35</v>
      </c>
      <c r="C38" s="45">
        <f>GEST.FARMAC!C38+GEST.MICRONIDO!C38</f>
        <v>12000</v>
      </c>
      <c r="D38" s="15"/>
      <c r="E38" s="46"/>
      <c r="F38" s="28"/>
    </row>
    <row r="39" spans="1:7" x14ac:dyDescent="0.3">
      <c r="A39" s="2">
        <v>20</v>
      </c>
      <c r="B39" s="3" t="s">
        <v>36</v>
      </c>
      <c r="C39" s="17">
        <f>GEST.FARMAC!C39+GEST.MICRONIDO!C39</f>
        <v>8000</v>
      </c>
      <c r="D39" s="15"/>
      <c r="E39" s="28"/>
      <c r="F39" s="28"/>
    </row>
    <row r="40" spans="1:7" x14ac:dyDescent="0.3">
      <c r="A40" s="2">
        <v>21</v>
      </c>
      <c r="B40" s="3" t="s">
        <v>37</v>
      </c>
      <c r="C40" s="17">
        <f>GEST.FARMAC!C40+GEST.MICRONIDO!C40</f>
        <v>52500</v>
      </c>
      <c r="D40" s="15"/>
      <c r="E40" s="28"/>
      <c r="F40" s="28"/>
    </row>
    <row r="41" spans="1:7" x14ac:dyDescent="0.3">
      <c r="A41" s="2">
        <v>22</v>
      </c>
      <c r="B41" s="3" t="s">
        <v>38</v>
      </c>
      <c r="C41" s="17">
        <f>GEST.FARMAC!C41+GEST.MICRONIDO!C41</f>
        <v>134120</v>
      </c>
      <c r="D41" s="15"/>
      <c r="E41" s="28"/>
      <c r="F41" s="28"/>
      <c r="G41" s="24"/>
    </row>
    <row r="42" spans="1:7" x14ac:dyDescent="0.3">
      <c r="A42" s="2">
        <v>23</v>
      </c>
      <c r="B42" s="3" t="s">
        <v>67</v>
      </c>
      <c r="C42" s="17">
        <f>GEST.FARMAC!C42+GEST.MICRONIDO!C42</f>
        <v>6000</v>
      </c>
      <c r="D42" s="15"/>
      <c r="E42" s="28"/>
      <c r="F42" s="28"/>
      <c r="G42" s="24"/>
    </row>
    <row r="43" spans="1:7" x14ac:dyDescent="0.3">
      <c r="A43" s="2">
        <v>24</v>
      </c>
      <c r="B43" s="26" t="s">
        <v>66</v>
      </c>
      <c r="C43" s="17">
        <f>GEST.FARMAC!C43+GEST.MICRONIDO!C43</f>
        <v>0</v>
      </c>
      <c r="D43" s="15"/>
      <c r="E43" s="28"/>
      <c r="F43" s="28"/>
      <c r="G43" s="24"/>
    </row>
    <row r="44" spans="1:7" x14ac:dyDescent="0.3">
      <c r="A44" s="2"/>
      <c r="B44" s="3"/>
      <c r="C44" s="17"/>
      <c r="D44" s="15"/>
      <c r="E44" s="28"/>
      <c r="F44" s="28"/>
    </row>
    <row r="45" spans="1:7" x14ac:dyDescent="0.3">
      <c r="A45" s="53" t="s">
        <v>39</v>
      </c>
      <c r="B45" s="42" t="s">
        <v>40</v>
      </c>
      <c r="C45" s="32">
        <f>SUM(C28:C43)</f>
        <v>680120</v>
      </c>
      <c r="D45" s="12"/>
      <c r="E45" s="29"/>
      <c r="F45" s="29"/>
    </row>
    <row r="46" spans="1:7" x14ac:dyDescent="0.3">
      <c r="A46" s="2"/>
      <c r="B46" s="3"/>
      <c r="C46" s="17"/>
      <c r="D46" s="15"/>
      <c r="E46" s="28"/>
      <c r="F46" s="28"/>
    </row>
    <row r="47" spans="1:7" x14ac:dyDescent="0.3">
      <c r="A47" s="53" t="s">
        <v>41</v>
      </c>
      <c r="B47" s="42" t="s">
        <v>42</v>
      </c>
      <c r="C47" s="32">
        <f>C26-C45</f>
        <v>202080</v>
      </c>
      <c r="D47" s="12"/>
      <c r="E47" s="29"/>
      <c r="F47" s="29"/>
    </row>
    <row r="48" spans="1:7" x14ac:dyDescent="0.3">
      <c r="A48" s="2"/>
      <c r="B48" s="4"/>
      <c r="C48" s="19"/>
      <c r="D48" s="15"/>
      <c r="E48" s="28"/>
      <c r="F48" s="28"/>
    </row>
    <row r="49" spans="1:7" x14ac:dyDescent="0.3">
      <c r="A49" s="5" t="s">
        <v>43</v>
      </c>
      <c r="B49" s="10" t="s">
        <v>44</v>
      </c>
      <c r="C49" s="16">
        <f>GEST.FARMAC!C49+GEST.MICRONIDO!C49</f>
        <v>-8500</v>
      </c>
      <c r="D49" s="15"/>
      <c r="E49" s="28"/>
      <c r="F49" s="28"/>
    </row>
    <row r="50" spans="1:7" x14ac:dyDescent="0.3">
      <c r="A50" s="2"/>
      <c r="B50" s="3"/>
      <c r="C50" s="17"/>
      <c r="D50" s="15"/>
      <c r="E50" s="28"/>
      <c r="F50" s="28"/>
    </row>
    <row r="51" spans="1:7" x14ac:dyDescent="0.3">
      <c r="A51" s="53" t="s">
        <v>45</v>
      </c>
      <c r="B51" s="42" t="s">
        <v>46</v>
      </c>
      <c r="C51" s="32">
        <f>C47+C49</f>
        <v>193580</v>
      </c>
      <c r="D51" s="12"/>
      <c r="E51" s="29"/>
      <c r="F51" s="29"/>
    </row>
    <row r="52" spans="1:7" x14ac:dyDescent="0.3">
      <c r="A52" s="2"/>
      <c r="B52" s="4"/>
      <c r="C52" s="19"/>
      <c r="D52" s="15"/>
      <c r="E52" s="28"/>
      <c r="F52" s="28"/>
      <c r="G52" s="26"/>
    </row>
    <row r="53" spans="1:7" x14ac:dyDescent="0.3">
      <c r="A53" s="5" t="s">
        <v>47</v>
      </c>
      <c r="B53" s="10" t="s">
        <v>48</v>
      </c>
      <c r="C53" s="16">
        <f>GEST.FARMAC!C53+GEST.MICRONIDO!C53</f>
        <v>-5000</v>
      </c>
      <c r="D53" s="15"/>
      <c r="E53" s="28"/>
      <c r="F53" s="28"/>
      <c r="G53" s="26"/>
    </row>
    <row r="54" spans="1:7" x14ac:dyDescent="0.3">
      <c r="A54" s="2" t="s">
        <v>49</v>
      </c>
      <c r="B54" s="3" t="s">
        <v>50</v>
      </c>
      <c r="C54" s="17">
        <f>GEST.FARMAC!C54+GEST.MICRONIDO!C54</f>
        <v>33425</v>
      </c>
      <c r="D54" s="15"/>
      <c r="E54" s="28"/>
      <c r="F54" s="28"/>
      <c r="G54" s="26"/>
    </row>
    <row r="55" spans="1:7" x14ac:dyDescent="0.3">
      <c r="A55" s="2" t="s">
        <v>51</v>
      </c>
      <c r="B55" s="3" t="s">
        <v>52</v>
      </c>
      <c r="C55" s="17">
        <f>GEST.FARMAC!C55+GEST.MICRONIDO!C55</f>
        <v>1000</v>
      </c>
      <c r="D55" s="15"/>
      <c r="E55" s="28"/>
      <c r="F55" s="28"/>
      <c r="G55" s="26"/>
    </row>
    <row r="56" spans="1:7" x14ac:dyDescent="0.3">
      <c r="A56" s="2"/>
      <c r="B56" s="3"/>
      <c r="C56" s="17"/>
      <c r="D56" s="15"/>
      <c r="E56" s="28"/>
      <c r="F56" s="28"/>
      <c r="G56" s="26"/>
    </row>
    <row r="57" spans="1:7" x14ac:dyDescent="0.3">
      <c r="A57" s="53" t="s">
        <v>53</v>
      </c>
      <c r="B57" s="42" t="s">
        <v>54</v>
      </c>
      <c r="C57" s="32">
        <f>C51+C53+C54+C55</f>
        <v>223005</v>
      </c>
      <c r="D57" s="12"/>
      <c r="E57" s="29"/>
      <c r="F57" s="29"/>
      <c r="G57" s="26"/>
    </row>
    <row r="58" spans="1:7" x14ac:dyDescent="0.3">
      <c r="A58" s="2"/>
      <c r="B58" s="4"/>
      <c r="C58" s="19"/>
      <c r="D58" s="15"/>
      <c r="E58" s="28"/>
      <c r="F58" s="28"/>
      <c r="G58" s="26"/>
    </row>
    <row r="59" spans="1:7" x14ac:dyDescent="0.3">
      <c r="A59" s="5" t="s">
        <v>55</v>
      </c>
      <c r="B59" s="10" t="s">
        <v>56</v>
      </c>
      <c r="C59" s="16">
        <f>GEST.FARMAC!C59+GEST.MICRONIDO!C59</f>
        <v>50981.48</v>
      </c>
      <c r="D59" s="15"/>
      <c r="E59" s="28"/>
      <c r="F59" s="28"/>
      <c r="G59" s="26"/>
    </row>
    <row r="60" spans="1:7" x14ac:dyDescent="0.3">
      <c r="A60" s="2"/>
      <c r="B60" s="3"/>
      <c r="C60" s="17"/>
      <c r="D60" s="15"/>
      <c r="E60" s="28"/>
      <c r="F60" s="28"/>
      <c r="G60" s="26"/>
    </row>
    <row r="61" spans="1:7" x14ac:dyDescent="0.3">
      <c r="A61" s="53" t="s">
        <v>57</v>
      </c>
      <c r="B61" s="42" t="s">
        <v>58</v>
      </c>
      <c r="C61" s="32">
        <f>C57-C59</f>
        <v>172023.52</v>
      </c>
      <c r="D61" s="29"/>
      <c r="E61" s="29"/>
      <c r="F61" s="29"/>
      <c r="G61" s="26"/>
    </row>
    <row r="62" spans="1:7" x14ac:dyDescent="0.3">
      <c r="B62" s="13" t="s">
        <v>60</v>
      </c>
      <c r="C62" s="31">
        <f>C61+C41-(C41*24.5/100)</f>
        <v>273284.12</v>
      </c>
      <c r="D62" s="29"/>
      <c r="E62" s="29"/>
      <c r="F62" s="29"/>
      <c r="G62" s="26"/>
    </row>
    <row r="63" spans="1:7" x14ac:dyDescent="0.3">
      <c r="B63" s="13" t="s">
        <v>61</v>
      </c>
      <c r="C63" s="31">
        <f>C61+C34+C33+C32</f>
        <v>473823.52</v>
      </c>
      <c r="D63" s="29"/>
      <c r="E63" s="29"/>
      <c r="F63" s="29"/>
      <c r="G63" s="26"/>
    </row>
    <row r="64" spans="1:7" x14ac:dyDescent="0.3">
      <c r="B64" s="11" t="s">
        <v>62</v>
      </c>
      <c r="C64" s="21">
        <f>(C61+C59-C55-C54-C53-C49)/C4</f>
        <v>5.530377668308703E-2</v>
      </c>
      <c r="D64" s="30"/>
      <c r="E64" s="30"/>
      <c r="F64" s="30"/>
      <c r="G64" s="26"/>
    </row>
    <row r="65" spans="2:7" x14ac:dyDescent="0.3">
      <c r="B65" s="11" t="s">
        <v>63</v>
      </c>
      <c r="C65" s="21">
        <f>(C61+C59-C55-C54-C53-C49+C34+C33+C32)/C4</f>
        <v>0.13789819376026272</v>
      </c>
      <c r="D65" s="30"/>
      <c r="E65" s="30"/>
      <c r="F65" s="30"/>
      <c r="G65" s="26"/>
    </row>
  </sheetData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71"/>
  <sheetViews>
    <sheetView topLeftCell="B43" workbookViewId="0">
      <selection activeCell="C41" sqref="C41"/>
    </sheetView>
  </sheetViews>
  <sheetFormatPr defaultColWidth="7.33203125" defaultRowHeight="14.4" x14ac:dyDescent="0.3"/>
  <cols>
    <col min="1" max="1" width="7.109375" bestFit="1" customWidth="1"/>
    <col min="2" max="2" width="63.33203125" bestFit="1" customWidth="1"/>
    <col min="3" max="3" width="14.5546875" bestFit="1" customWidth="1"/>
    <col min="4" max="4" width="28.5546875" bestFit="1" customWidth="1"/>
    <col min="5" max="5" width="7" style="41" bestFit="1" customWidth="1"/>
    <col min="6" max="6" width="14.33203125" bestFit="1" customWidth="1"/>
    <col min="7" max="7" width="13.109375" bestFit="1" customWidth="1"/>
    <col min="8" max="8" width="11" bestFit="1" customWidth="1"/>
    <col min="9" max="9" width="14.33203125" bestFit="1" customWidth="1"/>
    <col min="10" max="10" width="14.6640625" customWidth="1"/>
    <col min="11" max="11" width="13.33203125" customWidth="1"/>
    <col min="12" max="14" width="11.5546875" customWidth="1"/>
    <col min="15" max="15" width="13.33203125" style="23" bestFit="1" customWidth="1"/>
  </cols>
  <sheetData>
    <row r="1" spans="1:25" ht="28.8" x14ac:dyDescent="0.3">
      <c r="A1" s="105" t="s">
        <v>74</v>
      </c>
      <c r="B1" s="106"/>
      <c r="C1" s="107"/>
      <c r="D1" s="47"/>
      <c r="E1" s="39"/>
      <c r="F1" s="25"/>
      <c r="G1" s="7"/>
      <c r="H1" s="7"/>
      <c r="I1" s="7"/>
      <c r="J1" s="7"/>
      <c r="K1" s="7"/>
      <c r="L1" s="7"/>
      <c r="M1" s="7"/>
      <c r="N1" s="7"/>
      <c r="O1" s="35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28.8" x14ac:dyDescent="0.3">
      <c r="A2" s="105" t="s">
        <v>80</v>
      </c>
      <c r="B2" s="106"/>
      <c r="C2" s="107"/>
      <c r="D2" s="27"/>
      <c r="E2" s="40"/>
      <c r="F2" s="27"/>
      <c r="G2" s="8"/>
      <c r="H2" s="8"/>
      <c r="I2" s="8"/>
      <c r="J2" s="8"/>
      <c r="K2" s="8"/>
      <c r="L2" s="8"/>
      <c r="M2" s="8"/>
      <c r="N2" s="8"/>
      <c r="O2" s="36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x14ac:dyDescent="0.3">
      <c r="A3" s="1"/>
      <c r="B3" s="53" t="s">
        <v>0</v>
      </c>
      <c r="C3" s="1" t="s">
        <v>81</v>
      </c>
      <c r="D3" s="33"/>
      <c r="E3" s="53">
        <v>2023</v>
      </c>
      <c r="F3" s="57" t="s">
        <v>64</v>
      </c>
      <c r="G3" s="1" t="s">
        <v>65</v>
      </c>
      <c r="H3" s="1" t="s">
        <v>69</v>
      </c>
      <c r="I3" s="48"/>
      <c r="J3" s="3"/>
      <c r="K3" s="3"/>
    </row>
    <row r="4" spans="1:25" x14ac:dyDescent="0.3">
      <c r="A4" s="2"/>
      <c r="B4" s="3" t="s">
        <v>1</v>
      </c>
      <c r="C4" s="16">
        <f>C6-C5</f>
        <v>3654000</v>
      </c>
      <c r="D4" s="15"/>
      <c r="E4" s="22" t="s">
        <v>68</v>
      </c>
      <c r="F4" s="58">
        <v>1450000</v>
      </c>
      <c r="G4" s="51">
        <v>230000</v>
      </c>
      <c r="H4" s="56">
        <f>G4/F4</f>
        <v>0.15862068965517243</v>
      </c>
      <c r="I4" s="49"/>
      <c r="J4" s="49"/>
      <c r="K4" s="50"/>
    </row>
    <row r="5" spans="1:25" x14ac:dyDescent="0.3">
      <c r="A5" s="2"/>
      <c r="B5" s="3" t="s">
        <v>2</v>
      </c>
      <c r="C5" s="17">
        <v>-46000</v>
      </c>
      <c r="D5" s="15"/>
      <c r="E5" s="22" t="s">
        <v>71</v>
      </c>
      <c r="F5" s="58">
        <v>1150000</v>
      </c>
      <c r="G5" s="51">
        <v>130000</v>
      </c>
      <c r="H5" s="56">
        <f>G5/F5</f>
        <v>0.11304347826086956</v>
      </c>
      <c r="I5" s="49"/>
      <c r="J5" s="49"/>
      <c r="K5" s="3"/>
    </row>
    <row r="6" spans="1:25" x14ac:dyDescent="0.3">
      <c r="A6" s="38" t="s">
        <v>3</v>
      </c>
      <c r="B6" s="42" t="s">
        <v>4</v>
      </c>
      <c r="C6" s="32">
        <f>F7+10000</f>
        <v>3608000</v>
      </c>
      <c r="D6" s="12"/>
      <c r="E6" s="22" t="s">
        <v>70</v>
      </c>
      <c r="F6" s="58">
        <v>998000</v>
      </c>
      <c r="G6" s="51">
        <v>100000</v>
      </c>
      <c r="H6" s="56">
        <f>G6/F6</f>
        <v>0.10020040080160321</v>
      </c>
      <c r="I6" s="49"/>
      <c r="J6" s="49"/>
      <c r="K6" s="3"/>
    </row>
    <row r="7" spans="1:25" x14ac:dyDescent="0.3">
      <c r="A7" s="9"/>
      <c r="B7" s="4"/>
      <c r="C7" s="18"/>
      <c r="D7" s="34"/>
      <c r="E7" s="11" t="s">
        <v>72</v>
      </c>
      <c r="F7" s="32">
        <f>F4+F5+F6</f>
        <v>3598000</v>
      </c>
      <c r="G7" s="59">
        <f>G4+G5+G6</f>
        <v>460000</v>
      </c>
      <c r="H7" s="21">
        <f>G7/F7</f>
        <v>0.12784880489160644</v>
      </c>
      <c r="I7" s="49"/>
      <c r="J7" s="49"/>
      <c r="K7" s="3"/>
    </row>
    <row r="8" spans="1:25" x14ac:dyDescent="0.3">
      <c r="A8" s="2">
        <v>1</v>
      </c>
      <c r="B8" s="3" t="s">
        <v>5</v>
      </c>
      <c r="C8" s="16">
        <v>423000</v>
      </c>
      <c r="D8" s="15"/>
      <c r="E8" s="28"/>
      <c r="F8" s="15"/>
      <c r="I8" s="3"/>
      <c r="J8" s="3"/>
      <c r="K8" s="3"/>
    </row>
    <row r="9" spans="1:25" x14ac:dyDescent="0.3">
      <c r="A9" s="2">
        <v>2</v>
      </c>
      <c r="B9" s="3" t="s">
        <v>6</v>
      </c>
      <c r="C9" s="17">
        <v>2100000</v>
      </c>
      <c r="D9" s="15"/>
      <c r="E9" s="28"/>
      <c r="F9" s="15"/>
      <c r="G9" s="24"/>
      <c r="H9" s="24"/>
    </row>
    <row r="10" spans="1:25" x14ac:dyDescent="0.3">
      <c r="A10" s="2">
        <v>3</v>
      </c>
      <c r="B10" s="3" t="s">
        <v>7</v>
      </c>
      <c r="C10" s="17">
        <f>-G7</f>
        <v>-460000</v>
      </c>
      <c r="D10" s="15"/>
      <c r="E10" s="28"/>
      <c r="F10" s="15"/>
      <c r="G10" s="24"/>
    </row>
    <row r="11" spans="1:25" x14ac:dyDescent="0.3">
      <c r="A11" s="2"/>
      <c r="B11" s="3"/>
      <c r="C11" s="17"/>
      <c r="D11" s="15"/>
      <c r="E11" s="28"/>
      <c r="F11" s="15"/>
      <c r="G11" s="24"/>
    </row>
    <row r="12" spans="1:25" x14ac:dyDescent="0.3">
      <c r="A12" s="43" t="s">
        <v>8</v>
      </c>
      <c r="B12" s="44" t="s">
        <v>9</v>
      </c>
      <c r="C12" s="32">
        <f>C8+C9+C10</f>
        <v>2063000</v>
      </c>
      <c r="D12" s="15"/>
      <c r="E12" s="61"/>
      <c r="F12" s="61"/>
      <c r="G12" s="61"/>
      <c r="H12" s="61"/>
      <c r="I12" s="61"/>
      <c r="J12" s="61"/>
      <c r="K12" s="61"/>
      <c r="L12" s="61"/>
      <c r="M12" s="61"/>
      <c r="N12" s="61"/>
    </row>
    <row r="13" spans="1:25" x14ac:dyDescent="0.3">
      <c r="A13" s="2"/>
      <c r="B13" s="3"/>
      <c r="C13" s="19"/>
      <c r="D13" s="63" t="s">
        <v>73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20"/>
      <c r="P13" s="3"/>
      <c r="Q13" s="3"/>
      <c r="R13" s="3"/>
    </row>
    <row r="14" spans="1:25" x14ac:dyDescent="0.3">
      <c r="A14" s="43" t="s">
        <v>10</v>
      </c>
      <c r="B14" s="44" t="s">
        <v>11</v>
      </c>
      <c r="C14" s="32">
        <f>C6-C12</f>
        <v>1545000</v>
      </c>
      <c r="D14" s="14">
        <f>C14/C4</f>
        <v>0.42282430213464695</v>
      </c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20"/>
      <c r="P14" s="3"/>
      <c r="Q14" s="3"/>
      <c r="R14" s="3"/>
    </row>
    <row r="15" spans="1:25" x14ac:dyDescent="0.3">
      <c r="A15" s="6"/>
      <c r="B15" s="4"/>
      <c r="C15" s="19"/>
      <c r="D15" s="15"/>
      <c r="E15" s="28"/>
      <c r="F15" s="15"/>
      <c r="G15" s="3"/>
      <c r="H15" s="3"/>
      <c r="I15" s="3"/>
      <c r="J15" s="3"/>
      <c r="K15" s="3"/>
      <c r="L15" s="3"/>
      <c r="M15" s="3"/>
      <c r="N15" s="3"/>
      <c r="O15" s="20"/>
      <c r="P15" s="3"/>
      <c r="Q15" s="3"/>
      <c r="R15" s="3"/>
    </row>
    <row r="16" spans="1:25" x14ac:dyDescent="0.3">
      <c r="A16" s="71">
        <v>4</v>
      </c>
      <c r="B16" s="3" t="s">
        <v>12</v>
      </c>
      <c r="C16" s="16">
        <v>7500</v>
      </c>
      <c r="D16" s="15"/>
      <c r="E16" s="28"/>
      <c r="F16" s="15"/>
      <c r="G16" s="24"/>
      <c r="H16" s="24"/>
      <c r="N16" s="3"/>
      <c r="O16" s="20"/>
      <c r="P16" s="3"/>
    </row>
    <row r="17" spans="1:21" ht="20.25" customHeight="1" x14ac:dyDescent="0.3">
      <c r="A17" s="71">
        <v>5</v>
      </c>
      <c r="B17" s="3" t="s">
        <v>13</v>
      </c>
      <c r="C17" s="17">
        <v>30000</v>
      </c>
      <c r="D17" s="55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20"/>
      <c r="P17" s="3"/>
    </row>
    <row r="18" spans="1:21" ht="33" customHeight="1" x14ac:dyDescent="0.3">
      <c r="A18" s="71">
        <v>6</v>
      </c>
      <c r="B18" s="3" t="s">
        <v>14</v>
      </c>
      <c r="C18" s="45">
        <v>182000</v>
      </c>
      <c r="D18" s="69" t="s">
        <v>59</v>
      </c>
      <c r="E18" s="3"/>
      <c r="F18" s="86" t="s">
        <v>85</v>
      </c>
      <c r="G18" s="87" t="s">
        <v>78</v>
      </c>
      <c r="H18" s="88" t="s">
        <v>79</v>
      </c>
      <c r="I18" s="86" t="s">
        <v>77</v>
      </c>
      <c r="J18" s="3"/>
      <c r="O18"/>
      <c r="P18" s="3"/>
      <c r="Q18" s="3"/>
      <c r="R18" s="3"/>
      <c r="S18" s="3"/>
      <c r="T18" s="3"/>
      <c r="U18" s="3"/>
    </row>
    <row r="19" spans="1:21" x14ac:dyDescent="0.3">
      <c r="A19" s="71">
        <v>7</v>
      </c>
      <c r="B19" s="3" t="s">
        <v>15</v>
      </c>
      <c r="C19" s="45">
        <v>430000</v>
      </c>
      <c r="D19" s="70">
        <f>C18+C19</f>
        <v>612000</v>
      </c>
      <c r="E19" s="28"/>
      <c r="F19" s="89">
        <f>I19-H19+G19</f>
        <v>15</v>
      </c>
      <c r="G19" s="90">
        <v>2</v>
      </c>
      <c r="H19" s="89">
        <v>1</v>
      </c>
      <c r="I19" s="89">
        <v>14</v>
      </c>
      <c r="J19" s="15"/>
      <c r="K19" s="24"/>
      <c r="O19"/>
      <c r="P19" s="3"/>
      <c r="Q19" s="3"/>
      <c r="R19" s="3"/>
      <c r="S19" s="3"/>
      <c r="T19" s="3"/>
      <c r="U19" s="3"/>
    </row>
    <row r="20" spans="1:21" x14ac:dyDescent="0.3">
      <c r="A20" s="71">
        <v>8</v>
      </c>
      <c r="B20" s="3" t="s">
        <v>16</v>
      </c>
      <c r="C20" s="45">
        <v>4500</v>
      </c>
      <c r="D20" s="68">
        <f>D19/C4</f>
        <v>0.16748768472906403</v>
      </c>
      <c r="E20" s="65"/>
      <c r="F20" s="82"/>
      <c r="G20" s="83"/>
      <c r="H20" s="84"/>
      <c r="I20" s="85"/>
      <c r="J20" s="62"/>
      <c r="K20" s="24"/>
      <c r="O20"/>
      <c r="P20" s="3"/>
      <c r="Q20" s="3"/>
      <c r="R20" s="3"/>
      <c r="S20" s="3"/>
      <c r="T20" s="3"/>
      <c r="U20" s="3"/>
    </row>
    <row r="21" spans="1:21" x14ac:dyDescent="0.3">
      <c r="A21" s="71">
        <v>9</v>
      </c>
      <c r="B21" s="3" t="s">
        <v>17</v>
      </c>
      <c r="C21" s="17">
        <v>0</v>
      </c>
      <c r="D21" s="15"/>
      <c r="E21" s="28"/>
      <c r="F21" s="15"/>
      <c r="G21" s="3"/>
      <c r="H21" s="3"/>
      <c r="I21" s="3"/>
      <c r="J21" s="3"/>
      <c r="K21" s="24"/>
      <c r="O21"/>
      <c r="P21" s="3"/>
      <c r="Q21" s="3"/>
      <c r="R21" s="3"/>
      <c r="S21" s="3"/>
      <c r="T21" s="3"/>
      <c r="U21" s="3"/>
    </row>
    <row r="22" spans="1:21" x14ac:dyDescent="0.3">
      <c r="A22" s="71">
        <v>10</v>
      </c>
      <c r="B22" s="3" t="s">
        <v>18</v>
      </c>
      <c r="C22" s="17">
        <v>-3500</v>
      </c>
      <c r="D22" s="15"/>
      <c r="E22" s="28"/>
      <c r="F22" s="15"/>
      <c r="H22" s="23"/>
      <c r="O22"/>
    </row>
    <row r="23" spans="1:21" x14ac:dyDescent="0.3">
      <c r="A23" s="2"/>
      <c r="B23" s="3"/>
      <c r="C23" s="52"/>
      <c r="D23" s="15"/>
      <c r="E23" s="28"/>
      <c r="F23" s="15"/>
      <c r="G23" s="24"/>
      <c r="H23" s="23"/>
      <c r="O23"/>
    </row>
    <row r="24" spans="1:21" x14ac:dyDescent="0.3">
      <c r="A24" s="43" t="s">
        <v>19</v>
      </c>
      <c r="B24" s="44" t="s">
        <v>20</v>
      </c>
      <c r="C24" s="32">
        <f>SUM(C16:C22)</f>
        <v>650500</v>
      </c>
      <c r="D24" s="12"/>
      <c r="E24" s="29"/>
      <c r="F24" s="12"/>
      <c r="O24"/>
    </row>
    <row r="25" spans="1:21" x14ac:dyDescent="0.3">
      <c r="A25" s="2"/>
      <c r="B25" s="3"/>
      <c r="C25" s="17"/>
      <c r="D25" s="15"/>
      <c r="E25" s="28"/>
      <c r="F25" s="28"/>
      <c r="O25"/>
    </row>
    <row r="26" spans="1:21" x14ac:dyDescent="0.3">
      <c r="A26" s="43" t="s">
        <v>21</v>
      </c>
      <c r="B26" s="44" t="s">
        <v>22</v>
      </c>
      <c r="C26" s="32">
        <f>C14-C24</f>
        <v>894500</v>
      </c>
      <c r="D26" s="12"/>
      <c r="E26" s="29"/>
      <c r="F26" s="29"/>
      <c r="O26"/>
    </row>
    <row r="27" spans="1:21" x14ac:dyDescent="0.3">
      <c r="A27" s="6"/>
      <c r="B27" s="4"/>
      <c r="C27" s="19"/>
      <c r="D27" s="15"/>
      <c r="E27" s="28"/>
      <c r="F27" s="28"/>
      <c r="O27"/>
    </row>
    <row r="28" spans="1:21" x14ac:dyDescent="0.3">
      <c r="A28" s="2">
        <v>11</v>
      </c>
      <c r="B28" s="3" t="s">
        <v>23</v>
      </c>
      <c r="C28" s="16">
        <v>0</v>
      </c>
      <c r="D28" s="15"/>
      <c r="E28" s="28"/>
      <c r="F28" s="28"/>
      <c r="O28"/>
    </row>
    <row r="29" spans="1:21" x14ac:dyDescent="0.3">
      <c r="A29" s="2">
        <v>12</v>
      </c>
      <c r="B29" s="3" t="s">
        <v>24</v>
      </c>
      <c r="C29" s="45">
        <v>87800</v>
      </c>
      <c r="D29" s="28"/>
      <c r="E29" s="28"/>
      <c r="F29" s="28"/>
      <c r="O29"/>
    </row>
    <row r="30" spans="1:21" x14ac:dyDescent="0.3">
      <c r="A30" s="2" t="s">
        <v>25</v>
      </c>
      <c r="B30" s="3" t="s">
        <v>26</v>
      </c>
      <c r="C30" s="17">
        <v>40500</v>
      </c>
      <c r="D30" s="15"/>
      <c r="E30" s="28"/>
      <c r="F30" s="28"/>
      <c r="O30"/>
    </row>
    <row r="31" spans="1:21" x14ac:dyDescent="0.3">
      <c r="A31" s="2">
        <v>13</v>
      </c>
      <c r="B31" s="3" t="s">
        <v>27</v>
      </c>
      <c r="C31" s="17">
        <v>0</v>
      </c>
      <c r="D31" s="15"/>
      <c r="E31" s="28"/>
      <c r="F31" s="28"/>
      <c r="O31"/>
    </row>
    <row r="32" spans="1:21" x14ac:dyDescent="0.3">
      <c r="A32" s="2">
        <v>14</v>
      </c>
      <c r="B32" s="3" t="s">
        <v>28</v>
      </c>
      <c r="C32" s="17">
        <v>5800</v>
      </c>
      <c r="D32" s="15"/>
      <c r="E32" s="28"/>
      <c r="F32" s="28"/>
      <c r="K32" s="23"/>
    </row>
    <row r="33" spans="1:11" x14ac:dyDescent="0.3">
      <c r="A33" s="2">
        <v>15</v>
      </c>
      <c r="B33" s="3" t="s">
        <v>29</v>
      </c>
      <c r="C33" s="17">
        <v>110000</v>
      </c>
      <c r="D33" s="15"/>
      <c r="E33" s="28"/>
      <c r="F33" s="28"/>
      <c r="K33" s="23"/>
    </row>
    <row r="34" spans="1:11" x14ac:dyDescent="0.3">
      <c r="A34" s="2">
        <v>16</v>
      </c>
      <c r="B34" s="3" t="s">
        <v>86</v>
      </c>
      <c r="C34" s="45">
        <v>170000</v>
      </c>
      <c r="D34" s="15"/>
      <c r="E34" s="28"/>
      <c r="F34" s="28"/>
      <c r="K34" s="23"/>
    </row>
    <row r="35" spans="1:11" x14ac:dyDescent="0.3">
      <c r="A35" s="2" t="s">
        <v>31</v>
      </c>
      <c r="B35" s="3" t="s">
        <v>32</v>
      </c>
      <c r="C35" s="45">
        <v>8000</v>
      </c>
      <c r="D35" s="28"/>
      <c r="E35" s="28"/>
      <c r="F35" s="28"/>
      <c r="G35" s="24"/>
    </row>
    <row r="36" spans="1:11" x14ac:dyDescent="0.3">
      <c r="A36" s="2">
        <v>17</v>
      </c>
      <c r="B36" s="3" t="s">
        <v>33</v>
      </c>
      <c r="C36" s="45">
        <v>3600</v>
      </c>
      <c r="D36" s="28"/>
      <c r="E36" s="28"/>
      <c r="F36" s="28"/>
    </row>
    <row r="37" spans="1:11" x14ac:dyDescent="0.3">
      <c r="A37" s="2">
        <v>18</v>
      </c>
      <c r="B37" s="3" t="s">
        <v>34</v>
      </c>
      <c r="C37" s="17">
        <v>16000</v>
      </c>
      <c r="D37" s="15"/>
      <c r="E37" s="28"/>
      <c r="F37" s="28"/>
    </row>
    <row r="38" spans="1:11" x14ac:dyDescent="0.3">
      <c r="A38" s="2">
        <v>19</v>
      </c>
      <c r="B38" s="3" t="s">
        <v>35</v>
      </c>
      <c r="C38" s="45">
        <v>12000</v>
      </c>
      <c r="D38" s="15"/>
      <c r="E38" s="46"/>
      <c r="F38" s="28"/>
    </row>
    <row r="39" spans="1:11" x14ac:dyDescent="0.3">
      <c r="A39" s="2">
        <v>20</v>
      </c>
      <c r="B39" s="3" t="s">
        <v>36</v>
      </c>
      <c r="C39" s="17">
        <v>6200</v>
      </c>
      <c r="D39" s="15"/>
      <c r="E39" s="28"/>
      <c r="F39" s="28"/>
    </row>
    <row r="40" spans="1:11" x14ac:dyDescent="0.3">
      <c r="A40" s="2">
        <v>21</v>
      </c>
      <c r="B40" s="3" t="s">
        <v>37</v>
      </c>
      <c r="C40" s="17">
        <f>26000+4000+22500</f>
        <v>52500</v>
      </c>
      <c r="D40" s="15"/>
      <c r="E40" s="28"/>
      <c r="F40" s="28"/>
    </row>
    <row r="41" spans="1:11" x14ac:dyDescent="0.3">
      <c r="A41" s="2">
        <v>22</v>
      </c>
      <c r="B41" s="3" t="s">
        <v>38</v>
      </c>
      <c r="C41" s="17">
        <f>80000+(C6*1.5)/100</f>
        <v>134120</v>
      </c>
      <c r="D41" s="15"/>
      <c r="E41" s="28"/>
      <c r="F41" s="28"/>
      <c r="G41" s="24"/>
    </row>
    <row r="42" spans="1:11" x14ac:dyDescent="0.3">
      <c r="A42" s="2">
        <v>23</v>
      </c>
      <c r="B42" s="3" t="s">
        <v>67</v>
      </c>
      <c r="C42" s="17">
        <v>6000</v>
      </c>
      <c r="D42" s="15"/>
      <c r="E42" s="28"/>
      <c r="F42" s="28"/>
      <c r="G42" s="24"/>
    </row>
    <row r="43" spans="1:11" x14ac:dyDescent="0.3">
      <c r="A43" s="2">
        <v>24</v>
      </c>
      <c r="B43" s="26" t="s">
        <v>66</v>
      </c>
      <c r="C43" s="17">
        <v>0</v>
      </c>
      <c r="D43" s="15"/>
      <c r="E43" s="28"/>
      <c r="F43" s="28"/>
      <c r="G43" s="24"/>
    </row>
    <row r="44" spans="1:11" x14ac:dyDescent="0.3">
      <c r="A44" s="2"/>
      <c r="B44" s="3"/>
      <c r="C44" s="17"/>
      <c r="D44" s="15"/>
      <c r="E44" s="28"/>
      <c r="F44" s="28"/>
    </row>
    <row r="45" spans="1:11" x14ac:dyDescent="0.3">
      <c r="A45" s="38" t="s">
        <v>39</v>
      </c>
      <c r="B45" s="42" t="s">
        <v>40</v>
      </c>
      <c r="C45" s="32">
        <f>SUM(C28:C43)</f>
        <v>652520</v>
      </c>
      <c r="D45" s="12"/>
      <c r="E45" s="29"/>
      <c r="F45" s="29"/>
    </row>
    <row r="46" spans="1:11" x14ac:dyDescent="0.3">
      <c r="A46" s="2"/>
      <c r="B46" s="3"/>
      <c r="C46" s="17"/>
      <c r="D46" s="15"/>
      <c r="E46" s="28"/>
      <c r="F46" s="28"/>
    </row>
    <row r="47" spans="1:11" x14ac:dyDescent="0.3">
      <c r="A47" s="38" t="s">
        <v>41</v>
      </c>
      <c r="B47" s="42" t="s">
        <v>42</v>
      </c>
      <c r="C47" s="32">
        <f>C26-C45</f>
        <v>241980</v>
      </c>
      <c r="D47" s="12"/>
      <c r="E47" s="29"/>
      <c r="F47" s="29"/>
    </row>
    <row r="48" spans="1:11" x14ac:dyDescent="0.3">
      <c r="A48" s="2"/>
      <c r="B48" s="4"/>
      <c r="C48" s="19"/>
      <c r="D48" s="15"/>
      <c r="E48" s="28"/>
      <c r="F48" s="28"/>
    </row>
    <row r="49" spans="1:7" x14ac:dyDescent="0.3">
      <c r="A49" s="5" t="s">
        <v>43</v>
      </c>
      <c r="B49" s="10" t="s">
        <v>44</v>
      </c>
      <c r="C49" s="16">
        <v>-8500</v>
      </c>
      <c r="D49" s="15"/>
      <c r="E49" s="28"/>
      <c r="F49" s="28"/>
    </row>
    <row r="50" spans="1:7" x14ac:dyDescent="0.3">
      <c r="A50" s="2"/>
      <c r="B50" s="3"/>
      <c r="C50" s="17"/>
      <c r="D50" s="15"/>
      <c r="E50" s="28"/>
      <c r="F50" s="28"/>
    </row>
    <row r="51" spans="1:7" x14ac:dyDescent="0.3">
      <c r="A51" s="38" t="s">
        <v>45</v>
      </c>
      <c r="B51" s="42" t="s">
        <v>46</v>
      </c>
      <c r="C51" s="32">
        <f>C47+C49</f>
        <v>233480</v>
      </c>
      <c r="D51" s="12"/>
      <c r="E51" s="29"/>
      <c r="F51" s="29"/>
    </row>
    <row r="52" spans="1:7" x14ac:dyDescent="0.3">
      <c r="A52" s="2"/>
      <c r="B52" s="4"/>
      <c r="C52" s="19"/>
      <c r="D52" s="15"/>
      <c r="E52" s="28"/>
      <c r="F52" s="28"/>
      <c r="G52" s="26"/>
    </row>
    <row r="53" spans="1:7" x14ac:dyDescent="0.3">
      <c r="A53" s="5" t="s">
        <v>47</v>
      </c>
      <c r="B53" s="10" t="s">
        <v>48</v>
      </c>
      <c r="C53" s="16">
        <f>-5000</f>
        <v>-5000</v>
      </c>
      <c r="D53" s="15"/>
      <c r="E53" s="28"/>
      <c r="F53" s="28"/>
      <c r="G53" s="26"/>
    </row>
    <row r="54" spans="1:7" x14ac:dyDescent="0.3">
      <c r="A54" s="2" t="s">
        <v>49</v>
      </c>
      <c r="B54" s="3" t="s">
        <v>50</v>
      </c>
      <c r="C54" s="17">
        <v>16425</v>
      </c>
      <c r="D54" s="15"/>
      <c r="E54" s="28"/>
      <c r="F54" s="28"/>
      <c r="G54" s="26"/>
    </row>
    <row r="55" spans="1:7" x14ac:dyDescent="0.3">
      <c r="A55" s="2" t="s">
        <v>51</v>
      </c>
      <c r="B55" s="3" t="s">
        <v>52</v>
      </c>
      <c r="C55" s="17">
        <v>1000</v>
      </c>
      <c r="D55" s="15"/>
      <c r="E55" s="28"/>
      <c r="F55" s="28"/>
      <c r="G55" s="26"/>
    </row>
    <row r="56" spans="1:7" x14ac:dyDescent="0.3">
      <c r="A56" s="2"/>
      <c r="B56" s="3"/>
      <c r="C56" s="17"/>
      <c r="D56" s="15"/>
      <c r="E56" s="28"/>
      <c r="F56" s="28"/>
      <c r="G56" s="26"/>
    </row>
    <row r="57" spans="1:7" x14ac:dyDescent="0.3">
      <c r="A57" s="38" t="s">
        <v>53</v>
      </c>
      <c r="B57" s="42" t="s">
        <v>54</v>
      </c>
      <c r="C57" s="32">
        <f>C51+C53+C54+C55</f>
        <v>245905</v>
      </c>
      <c r="D57" s="12"/>
      <c r="E57" s="29"/>
      <c r="F57" s="29"/>
      <c r="G57" s="26"/>
    </row>
    <row r="58" spans="1:7" x14ac:dyDescent="0.3">
      <c r="A58" s="2"/>
      <c r="B58" s="4"/>
      <c r="C58" s="19"/>
      <c r="D58" s="15"/>
      <c r="E58" s="28"/>
      <c r="F58" s="28"/>
      <c r="G58" s="26"/>
    </row>
    <row r="59" spans="1:7" x14ac:dyDescent="0.3">
      <c r="A59" s="5" t="s">
        <v>55</v>
      </c>
      <c r="B59" s="10" t="s">
        <v>56</v>
      </c>
      <c r="C59" s="16">
        <f>C57*23.6/100</f>
        <v>58033.58</v>
      </c>
      <c r="D59" s="15"/>
      <c r="E59" s="28"/>
      <c r="F59" s="28"/>
      <c r="G59" s="26"/>
    </row>
    <row r="60" spans="1:7" x14ac:dyDescent="0.3">
      <c r="A60" s="2"/>
      <c r="B60" s="3"/>
      <c r="C60" s="17"/>
      <c r="D60" s="15"/>
      <c r="E60" s="28"/>
      <c r="F60" s="28"/>
      <c r="G60" s="26"/>
    </row>
    <row r="61" spans="1:7" x14ac:dyDescent="0.3">
      <c r="A61" s="38" t="s">
        <v>57</v>
      </c>
      <c r="B61" s="42" t="s">
        <v>58</v>
      </c>
      <c r="C61" s="32">
        <f>C57-C59</f>
        <v>187871.41999999998</v>
      </c>
      <c r="D61" s="29"/>
      <c r="E61" s="29"/>
      <c r="F61" s="29"/>
      <c r="G61" s="26"/>
    </row>
    <row r="62" spans="1:7" x14ac:dyDescent="0.3">
      <c r="B62" s="13" t="s">
        <v>60</v>
      </c>
      <c r="C62" s="31">
        <f>C61+C41-(C41*24.5/100)</f>
        <v>289132.01999999996</v>
      </c>
      <c r="D62" s="29"/>
      <c r="E62" s="29"/>
      <c r="F62" s="29"/>
      <c r="G62" s="26"/>
    </row>
    <row r="63" spans="1:7" x14ac:dyDescent="0.3">
      <c r="B63" s="13" t="s">
        <v>61</v>
      </c>
      <c r="C63" s="31">
        <f>C61+C34+C33+C32+160000</f>
        <v>633671.41999999993</v>
      </c>
      <c r="D63" s="29"/>
      <c r="E63" s="29"/>
      <c r="F63" s="29"/>
      <c r="G63" s="26"/>
    </row>
    <row r="64" spans="1:7" x14ac:dyDescent="0.3">
      <c r="B64" s="11" t="s">
        <v>62</v>
      </c>
      <c r="C64" s="21">
        <f>(C61+C59-C55-C54-C53-C49)/C4</f>
        <v>6.6223316912972091E-2</v>
      </c>
      <c r="D64" s="30"/>
      <c r="E64" s="30"/>
      <c r="F64" s="30"/>
      <c r="G64" s="26"/>
    </row>
    <row r="65" spans="2:7" x14ac:dyDescent="0.3">
      <c r="B65" s="11" t="s">
        <v>63</v>
      </c>
      <c r="C65" s="21">
        <f>(C61+C59-C55-C54-C53-C49+C34+C33+C32)/C4</f>
        <v>0.14443897099069514</v>
      </c>
      <c r="D65" s="30"/>
      <c r="E65" s="30"/>
      <c r="F65" s="30"/>
      <c r="G65" s="26"/>
    </row>
    <row r="66" spans="2:7" x14ac:dyDescent="0.3">
      <c r="F66" s="26"/>
      <c r="G66" s="26"/>
    </row>
    <row r="67" spans="2:7" x14ac:dyDescent="0.3">
      <c r="F67" s="26"/>
      <c r="G67" s="26"/>
    </row>
    <row r="68" spans="2:7" x14ac:dyDescent="0.3">
      <c r="F68" s="26"/>
      <c r="G68" s="26"/>
    </row>
    <row r="69" spans="2:7" x14ac:dyDescent="0.3">
      <c r="F69" s="26"/>
      <c r="G69" s="26"/>
    </row>
    <row r="70" spans="2:7" x14ac:dyDescent="0.3">
      <c r="F70" s="26"/>
      <c r="G70" s="26"/>
    </row>
    <row r="71" spans="2:7" x14ac:dyDescent="0.3">
      <c r="F71" s="26"/>
      <c r="G71" s="26"/>
    </row>
  </sheetData>
  <mergeCells count="2">
    <mergeCell ref="A2:C2"/>
    <mergeCell ref="A1:C1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67"/>
  <sheetViews>
    <sheetView topLeftCell="A34" workbookViewId="0">
      <selection activeCell="I53" sqref="I53"/>
    </sheetView>
  </sheetViews>
  <sheetFormatPr defaultRowHeight="14.4" x14ac:dyDescent="0.3"/>
  <cols>
    <col min="1" max="1" width="10.109375" customWidth="1"/>
    <col min="2" max="2" width="32" bestFit="1" customWidth="1"/>
    <col min="3" max="3" width="14.5546875" bestFit="1" customWidth="1"/>
  </cols>
  <sheetData>
    <row r="1" spans="1:3" ht="28.8" x14ac:dyDescent="0.3">
      <c r="A1" s="105" t="s">
        <v>75</v>
      </c>
      <c r="B1" s="106"/>
      <c r="C1" s="107"/>
    </row>
    <row r="2" spans="1:3" ht="28.8" x14ac:dyDescent="0.3">
      <c r="A2" s="105" t="s">
        <v>80</v>
      </c>
      <c r="B2" s="106"/>
      <c r="C2" s="107"/>
    </row>
    <row r="3" spans="1:3" x14ac:dyDescent="0.3">
      <c r="A3" s="1"/>
      <c r="B3" s="53" t="s">
        <v>0</v>
      </c>
      <c r="C3" s="1" t="s">
        <v>81</v>
      </c>
    </row>
    <row r="4" spans="1:3" x14ac:dyDescent="0.3">
      <c r="A4" s="2"/>
      <c r="B4" s="3" t="s">
        <v>1</v>
      </c>
      <c r="C4" s="72">
        <v>0</v>
      </c>
    </row>
    <row r="5" spans="1:3" x14ac:dyDescent="0.3">
      <c r="A5" s="2"/>
      <c r="B5" s="3" t="s">
        <v>2</v>
      </c>
      <c r="C5" s="72">
        <v>0</v>
      </c>
    </row>
    <row r="6" spans="1:3" x14ac:dyDescent="0.3">
      <c r="A6" s="53" t="s">
        <v>3</v>
      </c>
      <c r="B6" s="42" t="s">
        <v>4</v>
      </c>
      <c r="C6" s="76">
        <f>C4+C5</f>
        <v>0</v>
      </c>
    </row>
    <row r="7" spans="1:3" x14ac:dyDescent="0.3">
      <c r="A7" s="37"/>
      <c r="B7" s="4"/>
      <c r="C7" s="73"/>
    </row>
    <row r="8" spans="1:3" x14ac:dyDescent="0.3">
      <c r="A8" s="2">
        <v>1</v>
      </c>
      <c r="B8" s="3" t="s">
        <v>5</v>
      </c>
      <c r="C8" s="72">
        <v>0</v>
      </c>
    </row>
    <row r="9" spans="1:3" x14ac:dyDescent="0.3">
      <c r="A9" s="2">
        <v>2</v>
      </c>
      <c r="B9" s="3" t="s">
        <v>6</v>
      </c>
      <c r="C9" s="72">
        <v>0</v>
      </c>
    </row>
    <row r="10" spans="1:3" x14ac:dyDescent="0.3">
      <c r="A10" s="2">
        <v>3</v>
      </c>
      <c r="B10" s="3" t="s">
        <v>7</v>
      </c>
      <c r="C10" s="72">
        <v>0</v>
      </c>
    </row>
    <row r="11" spans="1:3" x14ac:dyDescent="0.3">
      <c r="A11" s="2"/>
      <c r="B11" s="3"/>
      <c r="C11" s="72"/>
    </row>
    <row r="12" spans="1:3" x14ac:dyDescent="0.3">
      <c r="A12" s="43" t="s">
        <v>8</v>
      </c>
      <c r="B12" s="44" t="s">
        <v>9</v>
      </c>
      <c r="C12" s="76">
        <f>-(C8+C9+C10)</f>
        <v>0</v>
      </c>
    </row>
    <row r="13" spans="1:3" x14ac:dyDescent="0.3">
      <c r="A13" s="2"/>
      <c r="B13" s="3"/>
      <c r="C13" s="72"/>
    </row>
    <row r="14" spans="1:3" x14ac:dyDescent="0.3">
      <c r="A14" s="43" t="s">
        <v>10</v>
      </c>
      <c r="B14" s="44" t="s">
        <v>11</v>
      </c>
      <c r="C14" s="76">
        <f>C6-C12</f>
        <v>0</v>
      </c>
    </row>
    <row r="15" spans="1:3" x14ac:dyDescent="0.3">
      <c r="A15" s="77"/>
      <c r="B15" s="60"/>
      <c r="C15" s="74"/>
    </row>
    <row r="16" spans="1:3" x14ac:dyDescent="0.3">
      <c r="A16" s="71">
        <v>4</v>
      </c>
      <c r="B16" s="3" t="s">
        <v>12</v>
      </c>
      <c r="C16" s="72">
        <v>1500</v>
      </c>
    </row>
    <row r="17" spans="1:3" x14ac:dyDescent="0.3">
      <c r="A17" s="71">
        <v>5</v>
      </c>
      <c r="B17" s="3" t="s">
        <v>13</v>
      </c>
      <c r="C17" s="72">
        <v>10000</v>
      </c>
    </row>
    <row r="18" spans="1:3" x14ac:dyDescent="0.3">
      <c r="A18" s="71">
        <v>6</v>
      </c>
      <c r="B18" s="3" t="s">
        <v>14</v>
      </c>
      <c r="C18" s="72">
        <v>0</v>
      </c>
    </row>
    <row r="19" spans="1:3" x14ac:dyDescent="0.3">
      <c r="A19" s="71">
        <v>7</v>
      </c>
      <c r="B19" s="3" t="s">
        <v>15</v>
      </c>
      <c r="C19" s="72">
        <v>0</v>
      </c>
    </row>
    <row r="20" spans="1:3" x14ac:dyDescent="0.3">
      <c r="A20" s="71">
        <v>8</v>
      </c>
      <c r="B20" s="3" t="s">
        <v>16</v>
      </c>
      <c r="C20" s="72">
        <v>800</v>
      </c>
    </row>
    <row r="21" spans="1:3" x14ac:dyDescent="0.3">
      <c r="A21" s="71">
        <v>9</v>
      </c>
      <c r="B21" s="3" t="s">
        <v>17</v>
      </c>
      <c r="C21" s="72">
        <v>0</v>
      </c>
    </row>
    <row r="22" spans="1:3" x14ac:dyDescent="0.3">
      <c r="A22" s="71">
        <v>10</v>
      </c>
      <c r="B22" s="3" t="s">
        <v>18</v>
      </c>
      <c r="C22" s="72">
        <v>0</v>
      </c>
    </row>
    <row r="23" spans="1:3" x14ac:dyDescent="0.3">
      <c r="A23" s="2"/>
      <c r="B23" s="3"/>
      <c r="C23" s="72"/>
    </row>
    <row r="24" spans="1:3" x14ac:dyDescent="0.3">
      <c r="A24" s="43" t="s">
        <v>19</v>
      </c>
      <c r="B24" s="44" t="s">
        <v>20</v>
      </c>
      <c r="C24" s="76">
        <f>(SUM(C16:C22))</f>
        <v>12300</v>
      </c>
    </row>
    <row r="25" spans="1:3" x14ac:dyDescent="0.3">
      <c r="A25" s="2"/>
      <c r="B25" s="3"/>
      <c r="C25" s="72"/>
    </row>
    <row r="26" spans="1:3" x14ac:dyDescent="0.3">
      <c r="A26" s="43" t="s">
        <v>21</v>
      </c>
      <c r="B26" s="44" t="s">
        <v>22</v>
      </c>
      <c r="C26" s="76">
        <f>C14-C24</f>
        <v>-12300</v>
      </c>
    </row>
    <row r="27" spans="1:3" x14ac:dyDescent="0.3">
      <c r="A27" s="77"/>
      <c r="B27" s="60"/>
      <c r="C27" s="74"/>
    </row>
    <row r="28" spans="1:3" x14ac:dyDescent="0.3">
      <c r="A28" s="2">
        <v>11</v>
      </c>
      <c r="B28" s="3" t="s">
        <v>23</v>
      </c>
      <c r="C28" s="72">
        <v>0</v>
      </c>
    </row>
    <row r="29" spans="1:3" x14ac:dyDescent="0.3">
      <c r="A29" s="2">
        <v>12</v>
      </c>
      <c r="B29" s="3" t="s">
        <v>24</v>
      </c>
      <c r="C29" s="72">
        <v>9000</v>
      </c>
    </row>
    <row r="30" spans="1:3" x14ac:dyDescent="0.3">
      <c r="A30" s="2" t="s">
        <v>25</v>
      </c>
      <c r="B30" s="3" t="s">
        <v>26</v>
      </c>
      <c r="C30" s="72">
        <v>0</v>
      </c>
    </row>
    <row r="31" spans="1:3" x14ac:dyDescent="0.3">
      <c r="A31" s="2">
        <v>13</v>
      </c>
      <c r="B31" s="3" t="s">
        <v>27</v>
      </c>
      <c r="C31" s="72">
        <v>0</v>
      </c>
    </row>
    <row r="32" spans="1:3" x14ac:dyDescent="0.3">
      <c r="A32" s="2">
        <v>14</v>
      </c>
      <c r="B32" s="3" t="s">
        <v>28</v>
      </c>
      <c r="C32" s="72">
        <v>0</v>
      </c>
    </row>
    <row r="33" spans="1:3" x14ac:dyDescent="0.3">
      <c r="A33" s="2">
        <v>15</v>
      </c>
      <c r="B33" s="3" t="s">
        <v>29</v>
      </c>
      <c r="C33" s="72">
        <v>16000</v>
      </c>
    </row>
    <row r="34" spans="1:3" x14ac:dyDescent="0.3">
      <c r="A34" s="2">
        <v>16</v>
      </c>
      <c r="B34" s="3" t="s">
        <v>30</v>
      </c>
      <c r="C34" s="72">
        <v>0</v>
      </c>
    </row>
    <row r="35" spans="1:3" x14ac:dyDescent="0.3">
      <c r="A35" s="2" t="s">
        <v>31</v>
      </c>
      <c r="B35" s="3" t="s">
        <v>32</v>
      </c>
      <c r="C35" s="75">
        <v>800</v>
      </c>
    </row>
    <row r="36" spans="1:3" x14ac:dyDescent="0.3">
      <c r="A36" s="2">
        <v>17</v>
      </c>
      <c r="B36" s="3" t="s">
        <v>33</v>
      </c>
      <c r="C36" s="72">
        <v>0</v>
      </c>
    </row>
    <row r="37" spans="1:3" x14ac:dyDescent="0.3">
      <c r="A37" s="2">
        <v>18</v>
      </c>
      <c r="B37" s="3" t="s">
        <v>34</v>
      </c>
      <c r="C37" s="72">
        <v>0</v>
      </c>
    </row>
    <row r="38" spans="1:3" x14ac:dyDescent="0.3">
      <c r="A38" s="2">
        <v>19</v>
      </c>
      <c r="B38" s="3" t="s">
        <v>35</v>
      </c>
      <c r="C38" s="72">
        <v>0</v>
      </c>
    </row>
    <row r="39" spans="1:3" x14ac:dyDescent="0.3">
      <c r="A39" s="2">
        <v>20</v>
      </c>
      <c r="B39" s="3" t="s">
        <v>36</v>
      </c>
      <c r="C39" s="72">
        <v>1800</v>
      </c>
    </row>
    <row r="40" spans="1:3" x14ac:dyDescent="0.3">
      <c r="A40" s="2">
        <v>21</v>
      </c>
      <c r="B40" s="3" t="s">
        <v>37</v>
      </c>
      <c r="C40" s="72">
        <v>0</v>
      </c>
    </row>
    <row r="41" spans="1:3" x14ac:dyDescent="0.3">
      <c r="A41" s="2">
        <v>22</v>
      </c>
      <c r="B41" s="3" t="s">
        <v>38</v>
      </c>
      <c r="C41" s="72">
        <v>0</v>
      </c>
    </row>
    <row r="42" spans="1:3" x14ac:dyDescent="0.3">
      <c r="A42" s="2">
        <v>23</v>
      </c>
      <c r="B42" s="3" t="s">
        <v>67</v>
      </c>
      <c r="C42" s="72">
        <v>0</v>
      </c>
    </row>
    <row r="43" spans="1:3" x14ac:dyDescent="0.3">
      <c r="A43" s="2">
        <v>24</v>
      </c>
      <c r="B43" s="26" t="s">
        <v>66</v>
      </c>
      <c r="C43" s="72">
        <v>0</v>
      </c>
    </row>
    <row r="44" spans="1:3" x14ac:dyDescent="0.3">
      <c r="A44" s="2"/>
      <c r="B44" s="3"/>
      <c r="C44" s="72"/>
    </row>
    <row r="45" spans="1:3" x14ac:dyDescent="0.3">
      <c r="A45" s="53" t="s">
        <v>39</v>
      </c>
      <c r="B45" s="11" t="s">
        <v>40</v>
      </c>
      <c r="C45" s="76">
        <f>SUM(C28:C43)</f>
        <v>27600</v>
      </c>
    </row>
    <row r="46" spans="1:3" x14ac:dyDescent="0.3">
      <c r="A46" s="2"/>
      <c r="B46" s="3"/>
      <c r="C46" s="72"/>
    </row>
    <row r="47" spans="1:3" x14ac:dyDescent="0.3">
      <c r="A47" s="53" t="s">
        <v>41</v>
      </c>
      <c r="B47" s="42" t="s">
        <v>42</v>
      </c>
      <c r="C47" s="76">
        <f>C26-C45</f>
        <v>-39900</v>
      </c>
    </row>
    <row r="48" spans="1:3" x14ac:dyDescent="0.3">
      <c r="A48" s="2"/>
      <c r="B48" s="60"/>
      <c r="C48" s="74"/>
    </row>
    <row r="49" spans="1:3" x14ac:dyDescent="0.3">
      <c r="A49" s="5" t="s">
        <v>43</v>
      </c>
      <c r="B49" s="10" t="s">
        <v>44</v>
      </c>
      <c r="C49" s="72">
        <v>0</v>
      </c>
    </row>
    <row r="50" spans="1:3" x14ac:dyDescent="0.3">
      <c r="A50" s="2"/>
      <c r="B50" s="3"/>
      <c r="C50" s="72"/>
    </row>
    <row r="51" spans="1:3" x14ac:dyDescent="0.3">
      <c r="A51" s="53" t="s">
        <v>45</v>
      </c>
      <c r="B51" s="11" t="s">
        <v>46</v>
      </c>
      <c r="C51" s="76">
        <f>C47+C49</f>
        <v>-39900</v>
      </c>
    </row>
    <row r="52" spans="1:3" x14ac:dyDescent="0.3">
      <c r="A52" s="2"/>
      <c r="B52" s="60"/>
      <c r="C52" s="74"/>
    </row>
    <row r="53" spans="1:3" x14ac:dyDescent="0.3">
      <c r="A53" s="5" t="s">
        <v>47</v>
      </c>
      <c r="B53" s="10" t="s">
        <v>48</v>
      </c>
      <c r="C53" s="72">
        <v>0</v>
      </c>
    </row>
    <row r="54" spans="1:3" x14ac:dyDescent="0.3">
      <c r="A54" s="2" t="s">
        <v>49</v>
      </c>
      <c r="B54" s="3" t="s">
        <v>50</v>
      </c>
      <c r="C54" s="72">
        <v>17000</v>
      </c>
    </row>
    <row r="55" spans="1:3" x14ac:dyDescent="0.3">
      <c r="A55" s="2" t="s">
        <v>51</v>
      </c>
      <c r="B55" s="3" t="s">
        <v>52</v>
      </c>
      <c r="C55" s="72">
        <v>0</v>
      </c>
    </row>
    <row r="56" spans="1:3" x14ac:dyDescent="0.3">
      <c r="A56" s="2"/>
      <c r="B56" s="3"/>
      <c r="C56" s="72"/>
    </row>
    <row r="57" spans="1:3" x14ac:dyDescent="0.3">
      <c r="A57" s="53" t="s">
        <v>53</v>
      </c>
      <c r="B57" s="42" t="s">
        <v>54</v>
      </c>
      <c r="C57" s="76">
        <f>C51-C53+C54+C55</f>
        <v>-22900</v>
      </c>
    </row>
    <row r="58" spans="1:3" x14ac:dyDescent="0.3">
      <c r="A58" s="2"/>
      <c r="B58" s="60"/>
      <c r="C58" s="74"/>
    </row>
    <row r="59" spans="1:3" x14ac:dyDescent="0.3">
      <c r="A59" s="5" t="s">
        <v>55</v>
      </c>
      <c r="B59" s="10" t="s">
        <v>56</v>
      </c>
      <c r="C59" s="72">
        <f>((C57*0.24)+(C47*0.039))</f>
        <v>-7052.1</v>
      </c>
    </row>
    <row r="60" spans="1:3" x14ac:dyDescent="0.3">
      <c r="A60" s="2"/>
      <c r="B60" s="3"/>
      <c r="C60" s="72"/>
    </row>
    <row r="61" spans="1:3" x14ac:dyDescent="0.3">
      <c r="A61" s="53" t="s">
        <v>57</v>
      </c>
      <c r="B61" s="42" t="s">
        <v>58</v>
      </c>
      <c r="C61" s="76">
        <f>C57-C59</f>
        <v>-15847.9</v>
      </c>
    </row>
    <row r="62" spans="1:3" x14ac:dyDescent="0.3">
      <c r="A62" s="26"/>
      <c r="B62" s="78"/>
      <c r="C62" s="26"/>
    </row>
    <row r="63" spans="1:3" x14ac:dyDescent="0.3">
      <c r="A63" s="26"/>
      <c r="B63" s="78"/>
      <c r="C63" s="26"/>
    </row>
    <row r="64" spans="1:3" x14ac:dyDescent="0.3">
      <c r="A64" s="26"/>
      <c r="B64" s="78"/>
      <c r="C64" s="26"/>
    </row>
    <row r="65" spans="1:3" x14ac:dyDescent="0.3">
      <c r="A65" s="26"/>
      <c r="B65" s="78"/>
      <c r="C65" s="26"/>
    </row>
    <row r="66" spans="1:3" x14ac:dyDescent="0.3">
      <c r="A66" s="26"/>
      <c r="B66" s="26"/>
      <c r="C66" s="26"/>
    </row>
    <row r="67" spans="1:3" x14ac:dyDescent="0.3">
      <c r="A67" s="26"/>
      <c r="B67" s="26"/>
      <c r="C67" s="26"/>
    </row>
  </sheetData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C3B5B-D54D-433B-859A-DBB3CC4E8D57}">
  <sheetPr>
    <pageSetUpPr fitToPage="1"/>
  </sheetPr>
  <dimension ref="A1:C19"/>
  <sheetViews>
    <sheetView workbookViewId="0">
      <selection activeCell="A16" sqref="A16"/>
    </sheetView>
  </sheetViews>
  <sheetFormatPr defaultRowHeight="14.4" x14ac:dyDescent="0.3"/>
  <cols>
    <col min="1" max="1" width="69" bestFit="1" customWidth="1"/>
    <col min="2" max="2" width="26.6640625" customWidth="1"/>
    <col min="3" max="3" width="0.33203125" customWidth="1"/>
  </cols>
  <sheetData>
    <row r="1" spans="1:3" ht="28.8" x14ac:dyDescent="0.3">
      <c r="A1" s="105" t="s">
        <v>74</v>
      </c>
      <c r="B1" s="106"/>
    </row>
    <row r="2" spans="1:3" ht="28.8" x14ac:dyDescent="0.3">
      <c r="A2" s="105" t="s">
        <v>84</v>
      </c>
      <c r="B2" s="106"/>
    </row>
    <row r="3" spans="1:3" ht="28.8" x14ac:dyDescent="0.3">
      <c r="A3" s="95"/>
      <c r="B3" s="96"/>
    </row>
    <row r="4" spans="1:3" x14ac:dyDescent="0.3">
      <c r="A4" s="91" t="s">
        <v>0</v>
      </c>
      <c r="B4" s="97" t="s">
        <v>82</v>
      </c>
    </row>
    <row r="5" spans="1:3" x14ac:dyDescent="0.3">
      <c r="A5" s="102" t="s">
        <v>88</v>
      </c>
      <c r="B5" s="108">
        <v>204600</v>
      </c>
      <c r="C5" s="109"/>
    </row>
    <row r="6" spans="1:3" x14ac:dyDescent="0.3">
      <c r="A6" s="102" t="s">
        <v>89</v>
      </c>
      <c r="B6" s="108">
        <v>37500</v>
      </c>
      <c r="C6" s="109"/>
    </row>
    <row r="7" spans="1:3" x14ac:dyDescent="0.3">
      <c r="A7" s="102" t="s">
        <v>91</v>
      </c>
      <c r="B7" s="108">
        <v>34000</v>
      </c>
      <c r="C7" s="109"/>
    </row>
    <row r="8" spans="1:3" x14ac:dyDescent="0.3">
      <c r="A8" s="102" t="s">
        <v>92</v>
      </c>
      <c r="B8" s="108">
        <f>10000+5000</f>
        <v>15000</v>
      </c>
      <c r="C8" s="109"/>
    </row>
    <row r="9" spans="1:3" x14ac:dyDescent="0.3">
      <c r="A9" s="102" t="s">
        <v>93</v>
      </c>
      <c r="B9" s="108">
        <f>114500-5000</f>
        <v>109500</v>
      </c>
      <c r="C9" s="109"/>
    </row>
    <row r="10" spans="1:3" x14ac:dyDescent="0.3">
      <c r="A10" s="102" t="s">
        <v>94</v>
      </c>
      <c r="B10" s="108">
        <f>19500</f>
        <v>19500</v>
      </c>
      <c r="C10" s="109"/>
    </row>
    <row r="11" spans="1:3" x14ac:dyDescent="0.3">
      <c r="A11" s="102" t="s">
        <v>95</v>
      </c>
      <c r="B11" s="108">
        <v>2000</v>
      </c>
      <c r="C11" s="109"/>
    </row>
    <row r="12" spans="1:3" x14ac:dyDescent="0.3">
      <c r="A12" s="102" t="s">
        <v>96</v>
      </c>
      <c r="B12" s="108">
        <v>55000</v>
      </c>
      <c r="C12" s="109"/>
    </row>
    <row r="13" spans="1:3" x14ac:dyDescent="0.3">
      <c r="A13" s="102" t="s">
        <v>97</v>
      </c>
      <c r="B13" s="108">
        <f>6000+1300+1200+400</f>
        <v>8900</v>
      </c>
      <c r="C13" s="109"/>
    </row>
    <row r="14" spans="1:3" x14ac:dyDescent="0.3">
      <c r="A14" s="102" t="s">
        <v>98</v>
      </c>
      <c r="B14" s="108">
        <f>4000+(25*70)</f>
        <v>5750</v>
      </c>
      <c r="C14" s="109"/>
    </row>
    <row r="15" spans="1:3" x14ac:dyDescent="0.3">
      <c r="A15" s="102" t="s">
        <v>99</v>
      </c>
      <c r="B15" s="108">
        <f>9900+2000+4000+12000</f>
        <v>27900</v>
      </c>
      <c r="C15" s="109"/>
    </row>
    <row r="16" spans="1:3" x14ac:dyDescent="0.3">
      <c r="A16" s="94" t="s">
        <v>90</v>
      </c>
      <c r="B16" s="98">
        <v>40000</v>
      </c>
    </row>
    <row r="17" spans="1:2" x14ac:dyDescent="0.3">
      <c r="A17" s="100" t="s">
        <v>83</v>
      </c>
      <c r="B17" s="101">
        <f>SUM(B5:C16)</f>
        <v>559650</v>
      </c>
    </row>
    <row r="19" spans="1:2" x14ac:dyDescent="0.3">
      <c r="B19" s="24"/>
    </row>
  </sheetData>
  <mergeCells count="13">
    <mergeCell ref="B13:C13"/>
    <mergeCell ref="B14:C14"/>
    <mergeCell ref="B15:C15"/>
    <mergeCell ref="B12:C12"/>
    <mergeCell ref="A1:B1"/>
    <mergeCell ref="A2:B2"/>
    <mergeCell ref="B11:C11"/>
    <mergeCell ref="B5:C5"/>
    <mergeCell ref="B6:C6"/>
    <mergeCell ref="B7:C7"/>
    <mergeCell ref="B8:C8"/>
    <mergeCell ref="B9:C9"/>
    <mergeCell ref="B10:C1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61B56-BBB5-4051-B6F4-FE2CFA0017FF}">
  <sheetPr>
    <pageSetUpPr fitToPage="1"/>
  </sheetPr>
  <dimension ref="A1:C6"/>
  <sheetViews>
    <sheetView workbookViewId="0">
      <selection activeCell="B6" sqref="B6:C6"/>
    </sheetView>
  </sheetViews>
  <sheetFormatPr defaultRowHeight="14.4" x14ac:dyDescent="0.3"/>
  <cols>
    <col min="1" max="1" width="55.5546875" customWidth="1"/>
    <col min="3" max="3" width="29.5546875" customWidth="1"/>
  </cols>
  <sheetData>
    <row r="1" spans="1:3" ht="28.8" x14ac:dyDescent="0.3">
      <c r="A1" s="105" t="s">
        <v>75</v>
      </c>
      <c r="B1" s="106"/>
      <c r="C1" s="107"/>
    </row>
    <row r="2" spans="1:3" ht="28.8" x14ac:dyDescent="0.3">
      <c r="A2" s="105" t="s">
        <v>84</v>
      </c>
      <c r="B2" s="106"/>
      <c r="C2" s="107"/>
    </row>
    <row r="3" spans="1:3" x14ac:dyDescent="0.3">
      <c r="A3" s="53" t="s">
        <v>0</v>
      </c>
      <c r="B3" s="112" t="s">
        <v>82</v>
      </c>
      <c r="C3" s="113"/>
    </row>
    <row r="4" spans="1:3" s="99" customFormat="1" ht="28.8" x14ac:dyDescent="0.3">
      <c r="A4" s="86" t="s">
        <v>87</v>
      </c>
      <c r="B4" s="114">
        <v>10500</v>
      </c>
      <c r="C4" s="114"/>
    </row>
    <row r="5" spans="1:3" x14ac:dyDescent="0.3">
      <c r="A5" s="92" t="s">
        <v>100</v>
      </c>
      <c r="B5" s="114">
        <v>20000</v>
      </c>
      <c r="C5" s="114"/>
    </row>
    <row r="6" spans="1:3" x14ac:dyDescent="0.3">
      <c r="A6" s="93" t="s">
        <v>83</v>
      </c>
      <c r="B6" s="110">
        <f>B4+B5</f>
        <v>30500</v>
      </c>
      <c r="C6" s="111"/>
    </row>
  </sheetData>
  <mergeCells count="6">
    <mergeCell ref="B6:C6"/>
    <mergeCell ref="A1:C1"/>
    <mergeCell ref="A2:C2"/>
    <mergeCell ref="B3:C3"/>
    <mergeCell ref="B5:C5"/>
    <mergeCell ref="B4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4</vt:i4>
      </vt:variant>
    </vt:vector>
  </HeadingPairs>
  <TitlesOfParts>
    <vt:vector size="9" baseType="lpstr">
      <vt:lpstr>AFM SRL</vt:lpstr>
      <vt:lpstr>GEST.FARMAC</vt:lpstr>
      <vt:lpstr>GEST.MICRONIDO</vt:lpstr>
      <vt:lpstr>INVESTIMENTI FARMAC</vt:lpstr>
      <vt:lpstr>INVESTIMENTI MICRONDO</vt:lpstr>
      <vt:lpstr>'AFM SRL'!Area_stampa</vt:lpstr>
      <vt:lpstr>GEST.FARMAC!Area_stampa</vt:lpstr>
      <vt:lpstr>GEST.MICRONIDO!Area_stampa</vt:lpstr>
      <vt:lpstr>'INVESTIMENTI FARMAC'!Area_stampa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2022-12-20T14:40:08Z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5fe31f-9de1-4167-a753-111c0df8115f_Enabled">
    <vt:lpwstr>true</vt:lpwstr>
  </property>
  <property fmtid="{D5CDD505-2E9C-101B-9397-08002B2CF9AE}" pid="3" name="MSIP_Label_5f5fe31f-9de1-4167-a753-111c0df8115f_SetDate">
    <vt:lpwstr>2021-02-26T11:19:40Z</vt:lpwstr>
  </property>
  <property fmtid="{D5CDD505-2E9C-101B-9397-08002B2CF9AE}" pid="4" name="MSIP_Label_5f5fe31f-9de1-4167-a753-111c0df8115f_Method">
    <vt:lpwstr>Standard</vt:lpwstr>
  </property>
  <property fmtid="{D5CDD505-2E9C-101B-9397-08002B2CF9AE}" pid="5" name="MSIP_Label_5f5fe31f-9de1-4167-a753-111c0df8115f_Name">
    <vt:lpwstr>5f5fe31f-9de1-4167-a753-111c0df8115f</vt:lpwstr>
  </property>
  <property fmtid="{D5CDD505-2E9C-101B-9397-08002B2CF9AE}" pid="6" name="MSIP_Label_5f5fe31f-9de1-4167-a753-111c0df8115f_SiteId">
    <vt:lpwstr>cc4baf00-15c9-48dd-9f59-88c98bde2be7</vt:lpwstr>
  </property>
  <property fmtid="{D5CDD505-2E9C-101B-9397-08002B2CF9AE}" pid="7" name="MSIP_Label_5f5fe31f-9de1-4167-a753-111c0df8115f_ActionId">
    <vt:lpwstr/>
  </property>
  <property fmtid="{D5CDD505-2E9C-101B-9397-08002B2CF9AE}" pid="8" name="MSIP_Label_5f5fe31f-9de1-4167-a753-111c0df8115f_ContentBits">
    <vt:lpwstr>0</vt:lpwstr>
  </property>
</Properties>
</file>